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50"/>
  </bookViews>
  <sheets>
    <sheet name="Summary ARR" sheetId="1" r:id="rId1"/>
    <sheet name="GFA and Grants" sheetId="2" r:id="rId2"/>
    <sheet name="Depreciation 2025_26" sheetId="4" r:id="rId3"/>
    <sheet name="Depreciation" sheetId="3" r:id="rId4"/>
    <sheet name="Interest on Loan" sheetId="5" r:id="rId5"/>
    <sheet name="Return on Equity" sheetId="6" r:id="rId6"/>
    <sheet name="Operation and Maintenance Exp." sheetId="7" r:id="rId7"/>
    <sheet name="Employee Expenses" sheetId="8" r:id="rId8"/>
    <sheet name="R&amp;M Expenses" sheetId="10" r:id="rId9"/>
    <sheet name="A&amp;G Expenses" sheetId="9" r:id="rId10"/>
    <sheet name="IOWC" sheetId="11" r:id="rId11"/>
    <sheet name="Other Income" sheetId="12" r:id="rId12"/>
    <sheet name="Transmission Tariff" sheetId="13" r:id="rId13"/>
  </sheets>
  <externalReferences>
    <externalReference r:id="rId14"/>
    <externalReference r:id="rId15"/>
    <externalReference r:id="rId16"/>
  </externalReferenc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3" l="1"/>
  <c r="D19" i="13" l="1"/>
  <c r="D26" i="13" l="1"/>
  <c r="D27" i="13" s="1"/>
  <c r="D29" i="13" s="1"/>
  <c r="D17" i="13" l="1"/>
  <c r="D13" i="13" l="1"/>
  <c r="D11" i="13"/>
  <c r="D12" i="13"/>
  <c r="D9" i="13"/>
  <c r="F7" i="13"/>
  <c r="F6" i="13"/>
  <c r="F8" i="13"/>
  <c r="D6" i="12" l="1"/>
  <c r="E6" i="12" s="1"/>
  <c r="F6" i="12" s="1"/>
  <c r="D7" i="12"/>
  <c r="E7" i="12" s="1"/>
  <c r="F7" i="12" s="1"/>
  <c r="D8" i="12"/>
  <c r="E8" i="12" s="1"/>
  <c r="F8" i="12" s="1"/>
  <c r="D9" i="12"/>
  <c r="E9" i="12" s="1"/>
  <c r="F9" i="12" s="1"/>
  <c r="D10" i="12"/>
  <c r="E10" i="12" s="1"/>
  <c r="F10" i="12" s="1"/>
  <c r="D11" i="12"/>
  <c r="E11" i="12" s="1"/>
  <c r="F11" i="12" s="1"/>
  <c r="D12" i="12"/>
  <c r="D14" i="12"/>
  <c r="E12" i="12" l="1"/>
  <c r="F12" i="12" s="1"/>
  <c r="D14" i="1"/>
  <c r="D18" i="1" s="1"/>
  <c r="D12" i="1"/>
  <c r="D9" i="7"/>
  <c r="F7" i="6"/>
  <c r="E7" i="6"/>
  <c r="D11" i="6"/>
  <c r="D7" i="6"/>
  <c r="E7" i="5"/>
  <c r="F7" i="5"/>
  <c r="D11" i="5"/>
  <c r="E11" i="5" s="1"/>
  <c r="F11" i="5" s="1"/>
  <c r="D7" i="5"/>
  <c r="D6" i="5"/>
  <c r="E14" i="3"/>
  <c r="E15" i="3" s="1"/>
  <c r="F15" i="3"/>
  <c r="J14" i="3"/>
  <c r="J13" i="3"/>
  <c r="J12" i="3"/>
  <c r="J11" i="3"/>
  <c r="J10" i="3"/>
  <c r="J9" i="3"/>
  <c r="J8" i="3"/>
  <c r="J7" i="3"/>
  <c r="J6" i="3"/>
  <c r="J6" i="4"/>
  <c r="J7" i="4"/>
  <c r="J8" i="4"/>
  <c r="J9" i="4"/>
  <c r="J10" i="4"/>
  <c r="J11" i="4"/>
  <c r="J12" i="4"/>
  <c r="J13" i="4"/>
  <c r="J14" i="4"/>
  <c r="F15" i="4"/>
  <c r="E15" i="4"/>
  <c r="E14" i="4"/>
  <c r="D13" i="2" l="1"/>
  <c r="D12" i="2"/>
  <c r="D7" i="2" l="1"/>
  <c r="D18" i="2" l="1"/>
  <c r="D17" i="2"/>
  <c r="E18" i="2" l="1"/>
  <c r="F18" i="2"/>
  <c r="E17" i="2"/>
  <c r="F17" i="2"/>
  <c r="D14" i="2"/>
  <c r="D15" i="2" l="1"/>
  <c r="E12" i="2"/>
  <c r="E14" i="2" s="1"/>
  <c r="E15" i="2" l="1"/>
  <c r="F12" i="2"/>
  <c r="F14" i="2" s="1"/>
  <c r="F15" i="2" s="1"/>
  <c r="F11" i="6" l="1"/>
  <c r="K17" i="4"/>
  <c r="E11" i="6"/>
  <c r="D13" i="4" l="1"/>
  <c r="D12" i="4"/>
  <c r="D14" i="4"/>
  <c r="D6" i="4"/>
  <c r="D7" i="4"/>
  <c r="D9" i="4"/>
  <c r="D10" i="4"/>
  <c r="D8" i="4"/>
  <c r="D11" i="4"/>
  <c r="D13" i="12" l="1"/>
  <c r="G14" i="4"/>
  <c r="D14" i="3" s="1"/>
  <c r="G14" i="3" s="1"/>
  <c r="H14" i="3" s="1"/>
  <c r="I14" i="3" s="1"/>
  <c r="K14" i="3" s="1"/>
  <c r="H14" i="4"/>
  <c r="I14" i="4" s="1"/>
  <c r="K14" i="4" s="1"/>
  <c r="G13" i="4"/>
  <c r="D13" i="3" s="1"/>
  <c r="G13" i="3" s="1"/>
  <c r="H13" i="3" s="1"/>
  <c r="I13" i="3" s="1"/>
  <c r="K13" i="3" s="1"/>
  <c r="G7" i="4"/>
  <c r="D7" i="3" s="1"/>
  <c r="G7" i="3" s="1"/>
  <c r="H7" i="3" s="1"/>
  <c r="I7" i="3" s="1"/>
  <c r="K7" i="3" s="1"/>
  <c r="G9" i="4"/>
  <c r="D9" i="3" s="1"/>
  <c r="G9" i="3" s="1"/>
  <c r="H9" i="3" s="1"/>
  <c r="I9" i="3" s="1"/>
  <c r="K9" i="3" s="1"/>
  <c r="D15" i="4"/>
  <c r="G6" i="4"/>
  <c r="H6" i="4" s="1"/>
  <c r="G11" i="4"/>
  <c r="D11" i="3" s="1"/>
  <c r="G11" i="3" s="1"/>
  <c r="H11" i="3" s="1"/>
  <c r="I11" i="3" s="1"/>
  <c r="K11" i="3" s="1"/>
  <c r="G12" i="4"/>
  <c r="D12" i="3" s="1"/>
  <c r="G12" i="3" s="1"/>
  <c r="H12" i="3" s="1"/>
  <c r="I12" i="3" s="1"/>
  <c r="K12" i="3" s="1"/>
  <c r="G8" i="4"/>
  <c r="D8" i="3" s="1"/>
  <c r="G8" i="3" s="1"/>
  <c r="H8" i="3" s="1"/>
  <c r="I8" i="3" s="1"/>
  <c r="K8" i="3" s="1"/>
  <c r="H8" i="4"/>
  <c r="I8" i="4" s="1"/>
  <c r="K8" i="4" s="1"/>
  <c r="G10" i="4"/>
  <c r="D10" i="3" s="1"/>
  <c r="G10" i="3" s="1"/>
  <c r="H10" i="3" s="1"/>
  <c r="I10" i="3" s="1"/>
  <c r="K10" i="3" s="1"/>
  <c r="H9" i="4" l="1"/>
  <c r="I9" i="4" s="1"/>
  <c r="K9" i="4" s="1"/>
  <c r="H11" i="4"/>
  <c r="I11" i="4" s="1"/>
  <c r="K11" i="4" s="1"/>
  <c r="H12" i="4"/>
  <c r="I12" i="4" s="1"/>
  <c r="K12" i="4" s="1"/>
  <c r="H7" i="4"/>
  <c r="I7" i="4" s="1"/>
  <c r="K7" i="4" s="1"/>
  <c r="E13" i="12"/>
  <c r="D15" i="12"/>
  <c r="I6" i="4"/>
  <c r="G15" i="4"/>
  <c r="D6" i="3"/>
  <c r="H13" i="4"/>
  <c r="I13" i="4" s="1"/>
  <c r="K13" i="4" s="1"/>
  <c r="H10" i="4"/>
  <c r="I10" i="4" s="1"/>
  <c r="K10" i="4" s="1"/>
  <c r="H15" i="4" l="1"/>
  <c r="I15" i="4"/>
  <c r="K6" i="4"/>
  <c r="K15" i="4" s="1"/>
  <c r="K16" i="4" s="1"/>
  <c r="K18" i="4" s="1"/>
  <c r="K19" i="4" s="1"/>
  <c r="E8" i="5" s="1"/>
  <c r="F13" i="12"/>
  <c r="F15" i="12" s="1"/>
  <c r="E13" i="1" s="1"/>
  <c r="E15" i="12"/>
  <c r="G6" i="3"/>
  <c r="G15" i="3" s="1"/>
  <c r="D15" i="3"/>
  <c r="H6" i="3"/>
  <c r="I6" i="3" l="1"/>
  <c r="H15" i="3"/>
  <c r="K6" i="3" l="1"/>
  <c r="K15" i="3" s="1"/>
  <c r="I15" i="3"/>
  <c r="D24" i="9"/>
  <c r="E24" i="9" s="1"/>
  <c r="F24" i="9" s="1"/>
  <c r="D22" i="9"/>
  <c r="E22" i="9" s="1"/>
  <c r="F22" i="9" s="1"/>
  <c r="D21" i="9"/>
  <c r="E21" i="9" s="1"/>
  <c r="F21" i="9" s="1"/>
  <c r="D20" i="9"/>
  <c r="E20" i="9" s="1"/>
  <c r="F20" i="9" s="1"/>
  <c r="D17" i="9"/>
  <c r="E17" i="9" s="1"/>
  <c r="F17" i="9" s="1"/>
  <c r="D15" i="9"/>
  <c r="E15" i="9" s="1"/>
  <c r="F15" i="9" s="1"/>
  <c r="D14" i="9"/>
  <c r="E14" i="9" s="1"/>
  <c r="F14" i="9" s="1"/>
  <c r="D13" i="9"/>
  <c r="E13" i="9" s="1"/>
  <c r="F13" i="9" s="1"/>
  <c r="D12" i="9"/>
  <c r="E12" i="9" s="1"/>
  <c r="F12" i="9" s="1"/>
  <c r="D11" i="9"/>
  <c r="E11" i="9" s="1"/>
  <c r="F11" i="9" s="1"/>
  <c r="D14" i="10"/>
  <c r="E14" i="10" s="1"/>
  <c r="F14" i="10" s="1"/>
  <c r="K16" i="3" l="1"/>
  <c r="K18" i="3" s="1"/>
  <c r="K19" i="3" s="1"/>
  <c r="D6" i="9"/>
  <c r="D8" i="9"/>
  <c r="E8" i="9" s="1"/>
  <c r="F8" i="9" s="1"/>
  <c r="D7" i="9"/>
  <c r="E7" i="9" s="1"/>
  <c r="F7" i="9" s="1"/>
  <c r="D10" i="9"/>
  <c r="E10" i="9" s="1"/>
  <c r="F10" i="9" s="1"/>
  <c r="D18" i="9"/>
  <c r="E18" i="9" s="1"/>
  <c r="F18" i="9" s="1"/>
  <c r="D19" i="9"/>
  <c r="E19" i="9" s="1"/>
  <c r="F19" i="9" s="1"/>
  <c r="D9" i="9"/>
  <c r="E9" i="9" s="1"/>
  <c r="F9" i="9" s="1"/>
  <c r="E6" i="1" l="1"/>
  <c r="F8" i="5"/>
  <c r="E6" i="9"/>
  <c r="F6" i="9" l="1"/>
  <c r="D10" i="8" l="1"/>
  <c r="E10" i="8" s="1"/>
  <c r="F10" i="8" s="1"/>
  <c r="D6" i="10" l="1"/>
  <c r="D7" i="10"/>
  <c r="E7" i="10" s="1"/>
  <c r="F7" i="10" s="1"/>
  <c r="D8" i="10"/>
  <c r="E8" i="10" s="1"/>
  <c r="F8" i="10" s="1"/>
  <c r="D9" i="10"/>
  <c r="E9" i="10" s="1"/>
  <c r="F9" i="10" s="1"/>
  <c r="D10" i="10"/>
  <c r="E10" i="10" s="1"/>
  <c r="F10" i="10" s="1"/>
  <c r="D11" i="10"/>
  <c r="E11" i="10" s="1"/>
  <c r="F11" i="10" s="1"/>
  <c r="D12" i="10"/>
  <c r="E12" i="10" s="1"/>
  <c r="F12" i="10" s="1"/>
  <c r="D8" i="8"/>
  <c r="E8" i="8" s="1"/>
  <c r="F8" i="8" s="1"/>
  <c r="D7" i="8"/>
  <c r="E7" i="8" s="1"/>
  <c r="F7" i="8" s="1"/>
  <c r="D6" i="8"/>
  <c r="D9" i="8" l="1"/>
  <c r="D11" i="8" s="1"/>
  <c r="E6" i="8"/>
  <c r="E6" i="10"/>
  <c r="D13" i="10"/>
  <c r="D15" i="10" s="1"/>
  <c r="D8" i="6"/>
  <c r="D8" i="2"/>
  <c r="E13" i="10" l="1"/>
  <c r="E15" i="10" s="1"/>
  <c r="F6" i="10"/>
  <c r="F13" i="10" s="1"/>
  <c r="F15" i="10" s="1"/>
  <c r="E7" i="7" s="1"/>
  <c r="E9" i="8"/>
  <c r="E11" i="8" s="1"/>
  <c r="F6" i="8"/>
  <c r="F9" i="8" s="1"/>
  <c r="F11" i="8" s="1"/>
  <c r="E6" i="7" s="1"/>
  <c r="D8" i="5" l="1"/>
  <c r="D9" i="5" s="1"/>
  <c r="D6" i="2"/>
  <c r="D9" i="2" l="1"/>
  <c r="E6" i="2" s="1"/>
  <c r="D10" i="2"/>
  <c r="D10" i="5"/>
  <c r="D12" i="5" s="1"/>
  <c r="E6" i="5"/>
  <c r="E9" i="5" s="1"/>
  <c r="D6" i="6"/>
  <c r="D16" i="9" l="1"/>
  <c r="F6" i="5"/>
  <c r="F9" i="5" s="1"/>
  <c r="F10" i="5" s="1"/>
  <c r="F12" i="5" s="1"/>
  <c r="E7" i="1" s="1"/>
  <c r="E10" i="5"/>
  <c r="E12" i="5" s="1"/>
  <c r="D9" i="6"/>
  <c r="E6" i="6" s="1"/>
  <c r="D10" i="6"/>
  <c r="D12" i="6" s="1"/>
  <c r="E9" i="2"/>
  <c r="F6" i="2" s="1"/>
  <c r="E10" i="2"/>
  <c r="D13" i="6" l="1"/>
  <c r="D14" i="6"/>
  <c r="D16" i="6" s="1"/>
  <c r="F9" i="2"/>
  <c r="F10" i="2" s="1"/>
  <c r="D7" i="11"/>
  <c r="E16" i="9"/>
  <c r="D23" i="9"/>
  <c r="D25" i="9" s="1"/>
  <c r="E9" i="6"/>
  <c r="F6" i="6" s="1"/>
  <c r="F9" i="6" s="1"/>
  <c r="F10" i="6" s="1"/>
  <c r="F12" i="6" s="1"/>
  <c r="E10" i="6"/>
  <c r="E12" i="6" s="1"/>
  <c r="E14" i="6" l="1"/>
  <c r="E16" i="6" s="1"/>
  <c r="E13" i="6"/>
  <c r="F16" i="9"/>
  <c r="F23" i="9" s="1"/>
  <c r="F25" i="9" s="1"/>
  <c r="E8" i="7" s="1"/>
  <c r="E9" i="7" s="1"/>
  <c r="E23" i="9"/>
  <c r="E25" i="9" s="1"/>
  <c r="F13" i="6"/>
  <c r="F14" i="6"/>
  <c r="F16" i="6" s="1"/>
  <c r="E8" i="1" s="1"/>
  <c r="E9" i="1" l="1"/>
  <c r="D6" i="11"/>
  <c r="E15" i="1" l="1"/>
  <c r="E11" i="1" l="1"/>
  <c r="D8" i="11"/>
  <c r="D9" i="11"/>
  <c r="D11" i="11"/>
  <c r="E10" i="1"/>
  <c r="E12" i="1"/>
  <c r="E14" i="1"/>
  <c r="E18" i="1"/>
  <c r="D16" i="13"/>
  <c r="D18" i="13"/>
  <c r="D20" i="13"/>
</calcChain>
</file>

<file path=xl/sharedStrings.xml><?xml version="1.0" encoding="utf-8"?>
<sst xmlns="http://schemas.openxmlformats.org/spreadsheetml/2006/main" count="210" uniqueCount="142">
  <si>
    <t>Particular</t>
  </si>
  <si>
    <t>Claimed in True Up 
2024-25</t>
  </si>
  <si>
    <t>Estimated
2025-26</t>
  </si>
  <si>
    <t>Claimed
2026-27</t>
  </si>
  <si>
    <t>Opening GFA</t>
  </si>
  <si>
    <t>Addition to GFA</t>
  </si>
  <si>
    <t>Deletion from GFA</t>
  </si>
  <si>
    <t>Closing GFA</t>
  </si>
  <si>
    <t>Average GFA</t>
  </si>
  <si>
    <t>Opening Grant</t>
  </si>
  <si>
    <t>Add- Cap Funded Through Grant</t>
  </si>
  <si>
    <t>Closing Grant</t>
  </si>
  <si>
    <t>Average Grants</t>
  </si>
  <si>
    <t>Addition of Fresh Normative Loan</t>
  </si>
  <si>
    <t>Addtion of Fresh Normative Equity</t>
  </si>
  <si>
    <t>Normative Loan</t>
  </si>
  <si>
    <t>Normative Equity</t>
  </si>
  <si>
    <t>Land</t>
  </si>
  <si>
    <t>Buildings</t>
  </si>
  <si>
    <t>Plant and equipment</t>
  </si>
  <si>
    <t>Furniture and Fixtures</t>
  </si>
  <si>
    <t>Vehicles</t>
  </si>
  <si>
    <t>Office Equipments</t>
  </si>
  <si>
    <t>Hydraulic Works</t>
  </si>
  <si>
    <t>Other Civil Works</t>
  </si>
  <si>
    <t>Lines and Cable Works</t>
  </si>
  <si>
    <t>Opening GFA
2025-26</t>
  </si>
  <si>
    <t>Addition</t>
  </si>
  <si>
    <t>Deletion</t>
  </si>
  <si>
    <t>90% of Average GFA</t>
  </si>
  <si>
    <t>Rate of Depreciation</t>
  </si>
  <si>
    <t>Depreciation During FY 2025-26</t>
  </si>
  <si>
    <t>Total</t>
  </si>
  <si>
    <t>90% of Average Grants</t>
  </si>
  <si>
    <t>Depreciation on Grants</t>
  </si>
  <si>
    <t>Net Depreciation</t>
  </si>
  <si>
    <t>Opening GFA
2026-27</t>
  </si>
  <si>
    <t>Actual
2024-25</t>
  </si>
  <si>
    <t>Estimate 
2025-26</t>
  </si>
  <si>
    <t>Opening Normtaive Loan</t>
  </si>
  <si>
    <t>Repayment</t>
  </si>
  <si>
    <t>Closing Loan</t>
  </si>
  <si>
    <t>Average Loan</t>
  </si>
  <si>
    <t>Rate of Interest</t>
  </si>
  <si>
    <t>Interest on Loan</t>
  </si>
  <si>
    <t>Claim
2026-27</t>
  </si>
  <si>
    <t>Actual 
2024-25</t>
  </si>
  <si>
    <t>Estimate
2025-26</t>
  </si>
  <si>
    <t>Addition during the Year</t>
  </si>
  <si>
    <t xml:space="preserve">Deletion During the Year </t>
  </si>
  <si>
    <t>Average Assets Not Furnded Through Grants</t>
  </si>
  <si>
    <t>Debt (70%)</t>
  </si>
  <si>
    <t>Equity (30%)</t>
  </si>
  <si>
    <t>Rate of Return on Equity</t>
  </si>
  <si>
    <t>Return on Equity</t>
  </si>
  <si>
    <t>Employee Expenses</t>
  </si>
  <si>
    <t>R&amp;M Expenses</t>
  </si>
  <si>
    <t>A&amp;G Expenses</t>
  </si>
  <si>
    <t>Approved
FY 2026-27</t>
  </si>
  <si>
    <t>Revised Claim
2026-27</t>
  </si>
  <si>
    <t>Escalation Rate</t>
  </si>
  <si>
    <t>Salaries and Wages</t>
  </si>
  <si>
    <t>Contribution to PF</t>
  </si>
  <si>
    <t>Apportionment of Holding Company</t>
  </si>
  <si>
    <t>Sub-Total</t>
  </si>
  <si>
    <t>Add: Employee Expenses of MeECL</t>
  </si>
  <si>
    <t>Total Employee Expenses</t>
  </si>
  <si>
    <t>Insurance Charges</t>
  </si>
  <si>
    <t>Rent, Rates and Taxes</t>
  </si>
  <si>
    <t>Telegram, Postage, Telegraph and Telex charges</t>
  </si>
  <si>
    <t>Training, conveyance and vehicle running expenses</t>
  </si>
  <si>
    <t>Printing and stationery expenses</t>
  </si>
  <si>
    <t>Auditors' remuneration</t>
  </si>
  <si>
    <t>Books &amp; Periodicals</t>
  </si>
  <si>
    <t>Advertisement charges</t>
  </si>
  <si>
    <t>Technical Fees</t>
  </si>
  <si>
    <t>Legal and professional charges</t>
  </si>
  <si>
    <t xml:space="preserve">Meghalaya State Electricity Regulatory Commission (MSERC) </t>
  </si>
  <si>
    <t>NERPC Fees</t>
  </si>
  <si>
    <t>Bank Charges</t>
  </si>
  <si>
    <t xml:space="preserve">Miscellaneous expenses </t>
  </si>
  <si>
    <t>Electricity Charges</t>
  </si>
  <si>
    <t>GST Expenses</t>
  </si>
  <si>
    <t>ROC Charges</t>
  </si>
  <si>
    <t>Sub-Total (A)</t>
  </si>
  <si>
    <t>Add: A&amp;G Expenses of MeECL (1/3)</t>
  </si>
  <si>
    <t>Total A&amp;G Expense</t>
  </si>
  <si>
    <t>Plant and Equipment</t>
  </si>
  <si>
    <t>Civil Works</t>
  </si>
  <si>
    <t>Lines and Cables</t>
  </si>
  <si>
    <t>Office Equipment</t>
  </si>
  <si>
    <t>R&amp;M Expenses of MeECL (1/3)</t>
  </si>
  <si>
    <t>Depreciation</t>
  </si>
  <si>
    <t>Operation and Maintenance Expenses</t>
  </si>
  <si>
    <t>Interest on Working Capital</t>
  </si>
  <si>
    <t>SLDC Charges</t>
  </si>
  <si>
    <t>Less: Other Income</t>
  </si>
  <si>
    <t>Net ARR</t>
  </si>
  <si>
    <t>Add: Gap / (Surplus) of FY 2024-25</t>
  </si>
  <si>
    <t>Total ARR Recoverable in FY 2026-27</t>
  </si>
  <si>
    <t>Depreciation During FY 2026-27</t>
  </si>
  <si>
    <t>Claim 
2026-27</t>
  </si>
  <si>
    <t>Operation and Maintenance Expesnes (1 Month)</t>
  </si>
  <si>
    <t>Maintenance Spares 1% of GFA with 6% Escalation</t>
  </si>
  <si>
    <t>Receivables</t>
  </si>
  <si>
    <t>Total Working Capital Requirement</t>
  </si>
  <si>
    <t>Rate of Interest on Working Capital</t>
  </si>
  <si>
    <t>Esclation Rate</t>
  </si>
  <si>
    <t>Interest Income</t>
  </si>
  <si>
    <t>Scrap Sale</t>
  </si>
  <si>
    <t>AMC Charges</t>
  </si>
  <si>
    <t>Rental and Hiring Income</t>
  </si>
  <si>
    <t>Discount Received</t>
  </si>
  <si>
    <t>Fees and Penalties</t>
  </si>
  <si>
    <t>Sale of Tender</t>
  </si>
  <si>
    <t>Misc. Receipt</t>
  </si>
  <si>
    <t>Insurance Claim received</t>
  </si>
  <si>
    <t>Add: Comprehensive Income MePTCL
Installment IV</t>
  </si>
  <si>
    <t>Add: Comprehensive Income MeECL
Installment IV</t>
  </si>
  <si>
    <t>Peak Demand (MW)</t>
  </si>
  <si>
    <t>Energy Requirement (MU)</t>
  </si>
  <si>
    <t>Load Factor</t>
  </si>
  <si>
    <t>2022-23</t>
  </si>
  <si>
    <t>2023-24</t>
  </si>
  <si>
    <t>2024-25</t>
  </si>
  <si>
    <t>Expected Peak Demand in FY 2026-27</t>
  </si>
  <si>
    <t>CAGR</t>
  </si>
  <si>
    <t>Expected Average Demand in FY 2026-27</t>
  </si>
  <si>
    <t>Average Load Factor</t>
  </si>
  <si>
    <t>S No</t>
  </si>
  <si>
    <t xml:space="preserve">Annual Transmission Charges </t>
  </si>
  <si>
    <t>Average Load</t>
  </si>
  <si>
    <t>Transmission Tariff (Rs./MW/Day)</t>
  </si>
  <si>
    <t>Energy Transfer</t>
  </si>
  <si>
    <t>Transmission Tariff (Paise/Unit)</t>
  </si>
  <si>
    <t>FY 2026-27</t>
  </si>
  <si>
    <t>* Source- Central Enectricity Monthly Electricity Supply and Peak Demand Report</t>
  </si>
  <si>
    <t>Approved 
2026-27</t>
  </si>
  <si>
    <t>Energy</t>
  </si>
  <si>
    <t>Energy /100</t>
  </si>
  <si>
    <t>Rate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</si>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</sst>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b/>
      <sz val="11"/>
      <color theme="1"/>
      <name val="Candara"/>
      <family val="2"/>
    </font>
    <font>
      <b/>
      <i/>
      <sz val="11"/>
      <color theme="1"/>
      <name val="Candara"/>
      <family val="2"/>
    </font>
    <font>
      <sz val="11"/>
      <name val="Candara"/>
      <family val="2"/>
    </font>
    <font>
      <sz val="11"/>
      <color rgb="FF000000"/>
      <name val="Candara"/>
      <family val="2"/>
    </font>
    <font>
      <b/>
      <sz val="11"/>
      <name val="Candara"/>
      <family val="2"/>
    </font>
    <font>
      <b/>
      <sz val="11"/>
      <color rgb="FF000000"/>
      <name val="Candar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/>
    <xf numFmtId="0" fontId="3" fillId="3" borderId="0" xfId="0" applyFont="1" applyFill="1"/>
    <xf numFmtId="9" fontId="3" fillId="3" borderId="0" xfId="0" applyNumberFormat="1" applyFont="1" applyFill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10" fontId="2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9" fontId="2" fillId="3" borderId="1" xfId="0" applyNumberFormat="1" applyFont="1" applyFill="1" applyBorder="1" applyAlignment="1">
      <alignment horizontal="center"/>
    </xf>
    <xf numFmtId="10" fontId="2" fillId="3" borderId="0" xfId="0" applyNumberFormat="1" applyFont="1" applyFill="1"/>
    <xf numFmtId="0" fontId="4" fillId="0" borderId="1" xfId="0" applyFont="1" applyBorder="1"/>
    <xf numFmtId="0" fontId="2" fillId="3" borderId="1" xfId="0" applyFont="1" applyFill="1" applyBorder="1" applyAlignment="1">
      <alignment horizontal="left"/>
    </xf>
    <xf numFmtId="9" fontId="1" fillId="0" borderId="0" xfId="0" applyNumberFormat="1" applyFont="1"/>
    <xf numFmtId="9" fontId="1" fillId="0" borderId="1" xfId="0" applyNumberFormat="1" applyFont="1" applyBorder="1"/>
    <xf numFmtId="2" fontId="1" fillId="0" borderId="1" xfId="0" applyNumberFormat="1" applyFont="1" applyBorder="1"/>
    <xf numFmtId="0" fontId="5" fillId="0" borderId="1" xfId="0" applyFont="1" applyFill="1" applyBorder="1" applyAlignment="1">
      <alignment horizontal="justify"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justify" vertical="center"/>
    </xf>
    <xf numFmtId="0" fontId="7" fillId="3" borderId="1" xfId="0" applyFont="1" applyFill="1" applyBorder="1" applyAlignment="1">
      <alignment horizontal="justify" vertical="center"/>
    </xf>
    <xf numFmtId="2" fontId="2" fillId="3" borderId="1" xfId="0" applyNumberFormat="1" applyFont="1" applyFill="1" applyBorder="1"/>
    <xf numFmtId="10" fontId="3" fillId="3" borderId="0" xfId="0" applyNumberFormat="1" applyFont="1" applyFill="1"/>
    <xf numFmtId="0" fontId="3" fillId="0" borderId="0" xfId="0" applyFont="1"/>
    <xf numFmtId="0" fontId="1" fillId="3" borderId="1" xfId="0" applyFont="1" applyFill="1" applyBorder="1" applyAlignment="1">
      <alignment horizontal="center"/>
    </xf>
    <xf numFmtId="9" fontId="1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4" fontId="1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WIP\True%20Up%20Petition%202024-25\Transmission\True%20Up%20Model_Transmission_24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WIP\True%20Up%20Petition%202024-25\DISCOM\Model%20for%20Tariff%20FY%202026-2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ercadosemi\Desktop\WIP\True%20Up%20Petition%202024-25\Replies%20to%20Additional%20Information%20II\Transmission%20and%20SLDC\Annexure%20P.A.2%20(Tariff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ARR"/>
      <sheetName val="GFA and Funding Pattern"/>
      <sheetName val="Operation and Maintenance Exp."/>
      <sheetName val="Employee Expenses"/>
      <sheetName val="R&amp;M Expenses"/>
      <sheetName val="A&amp;G Expenses"/>
      <sheetName val="Depreciation"/>
      <sheetName val="Interest on Loan"/>
      <sheetName val="Return on Equity"/>
      <sheetName val="IOWC"/>
      <sheetName val="Other Income"/>
      <sheetName val="Income from Operation"/>
      <sheetName val="Reconciliation of ARR and Rev."/>
      <sheetName val="Sheet14"/>
    </sheetNames>
    <sheetDataSet>
      <sheetData sheetId="0">
        <row r="23">
          <cell r="E23">
            <v>-14.160402666454587</v>
          </cell>
        </row>
      </sheetData>
      <sheetData sheetId="1">
        <row r="5">
          <cell r="F5">
            <v>641.25077074600006</v>
          </cell>
        </row>
        <row r="6">
          <cell r="F6">
            <v>65.186605499999999</v>
          </cell>
        </row>
        <row r="7">
          <cell r="F7">
            <v>0.65699410000000003</v>
          </cell>
        </row>
        <row r="11">
          <cell r="F11">
            <v>218.08</v>
          </cell>
        </row>
        <row r="12">
          <cell r="F12">
            <v>64.614383200000006</v>
          </cell>
        </row>
      </sheetData>
      <sheetData sheetId="2"/>
      <sheetData sheetId="3">
        <row r="5">
          <cell r="G5">
            <v>35.874690719999997</v>
          </cell>
        </row>
        <row r="6">
          <cell r="G6">
            <v>0.26893400000000001</v>
          </cell>
        </row>
        <row r="7">
          <cell r="G7">
            <v>7.6248483</v>
          </cell>
        </row>
        <row r="9">
          <cell r="G9">
            <v>1.7099769233333315</v>
          </cell>
        </row>
      </sheetData>
      <sheetData sheetId="4">
        <row r="5">
          <cell r="G5">
            <v>0.162878</v>
          </cell>
        </row>
        <row r="6">
          <cell r="G6">
            <v>0.35499229999999998</v>
          </cell>
        </row>
        <row r="7">
          <cell r="G7">
            <v>0.1979409</v>
          </cell>
        </row>
        <row r="8">
          <cell r="G8">
            <v>8.3163990999999999</v>
          </cell>
        </row>
        <row r="9">
          <cell r="G9">
            <v>7.0977999999999996E-3</v>
          </cell>
        </row>
        <row r="10">
          <cell r="G10">
            <v>8.6730000000000002E-3</v>
          </cell>
        </row>
        <row r="11">
          <cell r="G11">
            <v>3.3539600000000003E-2</v>
          </cell>
        </row>
        <row r="13">
          <cell r="G13">
            <v>0.23992250000000001</v>
          </cell>
        </row>
      </sheetData>
      <sheetData sheetId="5">
        <row r="5">
          <cell r="G5">
            <v>0.9858146000000001</v>
          </cell>
        </row>
        <row r="6">
          <cell r="G6">
            <v>0</v>
          </cell>
        </row>
        <row r="7">
          <cell r="G7">
            <v>1.7541500000000002E-2</v>
          </cell>
        </row>
        <row r="8">
          <cell r="G8">
            <v>1.6460980999999999</v>
          </cell>
        </row>
        <row r="9">
          <cell r="G9">
            <v>4.3414299999999996E-2</v>
          </cell>
        </row>
        <row r="10">
          <cell r="G10">
            <v>3.875E-2</v>
          </cell>
        </row>
        <row r="11">
          <cell r="G11">
            <v>1.08E-4</v>
          </cell>
        </row>
        <row r="12">
          <cell r="G12">
            <v>2.93742E-2</v>
          </cell>
        </row>
        <row r="13">
          <cell r="G13">
            <v>8.0000000000000002E-3</v>
          </cell>
        </row>
        <row r="14">
          <cell r="G14">
            <v>0.17776150000000002</v>
          </cell>
        </row>
        <row r="15">
          <cell r="G15">
            <v>5.8999999999999997E-2</v>
          </cell>
        </row>
        <row r="16">
          <cell r="G16">
            <v>0.29099510000000001</v>
          </cell>
        </row>
        <row r="17">
          <cell r="G17">
            <v>6.1075800000000009E-4</v>
          </cell>
        </row>
        <row r="18">
          <cell r="G18">
            <v>3.75821E-2</v>
          </cell>
        </row>
        <row r="19">
          <cell r="G19">
            <v>1.0598487000000001</v>
          </cell>
        </row>
        <row r="20">
          <cell r="G20">
            <v>8.3700000000000007E-3</v>
          </cell>
        </row>
        <row r="21">
          <cell r="G21">
            <v>5.3099999999999996E-3</v>
          </cell>
        </row>
        <row r="23">
          <cell r="G23">
            <v>0.86689025333333347</v>
          </cell>
        </row>
      </sheetData>
      <sheetData sheetId="6">
        <row r="4">
          <cell r="K4">
            <v>12.140068153</v>
          </cell>
          <cell r="N4">
            <v>0</v>
          </cell>
        </row>
        <row r="5">
          <cell r="K5">
            <v>18.171663963</v>
          </cell>
          <cell r="N5">
            <v>3.3399999999999999E-2</v>
          </cell>
        </row>
        <row r="6">
          <cell r="K6">
            <v>245.04077302900001</v>
          </cell>
          <cell r="N6">
            <v>5.28E-2</v>
          </cell>
        </row>
        <row r="7">
          <cell r="K7">
            <v>0.98167859300000004</v>
          </cell>
          <cell r="N7">
            <v>6.3299999999999995E-2</v>
          </cell>
        </row>
        <row r="8">
          <cell r="K8">
            <v>0.30903786700000002</v>
          </cell>
          <cell r="N8">
            <v>9.5000000000000001E-2</v>
          </cell>
        </row>
        <row r="9">
          <cell r="K9">
            <v>0.61030273700000126</v>
          </cell>
          <cell r="N9">
            <v>6.3299999999999995E-2</v>
          </cell>
        </row>
        <row r="10">
          <cell r="K10">
            <v>8.9480400000000002E-2</v>
          </cell>
          <cell r="N10">
            <v>5.28E-2</v>
          </cell>
        </row>
        <row r="11">
          <cell r="K11">
            <v>12.961189524</v>
          </cell>
          <cell r="N11">
            <v>3.3399999999999999E-2</v>
          </cell>
        </row>
        <row r="12">
          <cell r="K12">
            <v>415.47618788000005</v>
          </cell>
          <cell r="N12">
            <v>5.28E-2</v>
          </cell>
        </row>
      </sheetData>
      <sheetData sheetId="7">
        <row r="6">
          <cell r="F6">
            <v>0</v>
          </cell>
        </row>
        <row r="7">
          <cell r="F7">
            <v>0.40055560999999495</v>
          </cell>
        </row>
        <row r="8">
          <cell r="F8">
            <v>19.418431635713681</v>
          </cell>
        </row>
        <row r="11">
          <cell r="F11">
            <v>8.3848839415031337E-2</v>
          </cell>
        </row>
      </sheetData>
      <sheetData sheetId="8">
        <row r="6">
          <cell r="F6">
            <v>641.25077074600006</v>
          </cell>
        </row>
        <row r="7">
          <cell r="F7">
            <v>65.186605499999999</v>
          </cell>
        </row>
        <row r="8">
          <cell r="F8">
            <v>0.65699410000000003</v>
          </cell>
        </row>
        <row r="11">
          <cell r="F11">
            <v>250.38719159999999</v>
          </cell>
        </row>
      </sheetData>
      <sheetData sheetId="9"/>
      <sheetData sheetId="10">
        <row r="6">
          <cell r="G6">
            <v>2.2531487000000001</v>
          </cell>
        </row>
        <row r="7">
          <cell r="G7">
            <v>0.19696516999999999</v>
          </cell>
        </row>
        <row r="8">
          <cell r="G8">
            <v>1.0633371</v>
          </cell>
        </row>
        <row r="9">
          <cell r="G9">
            <v>0.17605214</v>
          </cell>
        </row>
        <row r="10">
          <cell r="G10">
            <v>0</v>
          </cell>
        </row>
        <row r="11">
          <cell r="G11">
            <v>0.14589569999999999</v>
          </cell>
        </row>
        <row r="12">
          <cell r="G12">
            <v>5.0046399999999998E-2</v>
          </cell>
        </row>
        <row r="13">
          <cell r="G13">
            <v>0.34711148599999997</v>
          </cell>
        </row>
        <row r="14">
          <cell r="G14">
            <v>2.3014050639999999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ARR"/>
      <sheetName val="H1 Power Purchase Data"/>
      <sheetName val="Power Purchase Claim"/>
      <sheetName val="GFA and Grant"/>
      <sheetName val="Depreciation 2025-26"/>
      <sheetName val="Depreciation 2026-27"/>
      <sheetName val="Return on Equity"/>
      <sheetName val="Interest on Loan"/>
      <sheetName val="Operation and Maintenance Exp."/>
      <sheetName val="O&amp;M-Employee Exp."/>
      <sheetName val="O&amp;M- R&amp;M Exp."/>
      <sheetName val="O&amp;M- A&amp;G Exp."/>
      <sheetName val="Interest on WC"/>
      <sheetName val="Other Income"/>
      <sheetName val="Energy Balance"/>
      <sheetName val="Revenue from Existing T"/>
      <sheetName val="Slab Wise Consumption Working"/>
      <sheetName val="Tariff Proposal"/>
      <sheetName val="Slab Wise Consumption Worki (2"/>
      <sheetName val="Summary Tariff Proposal"/>
      <sheetName val="Working for Coal"/>
      <sheetName val="Wheeling and Cross Subsidy Sur"/>
      <sheetName val="Additional Surchar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3">
          <cell r="F23">
            <v>2195.7876000000001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ARR"/>
      <sheetName val="GFA and Funding Pattern"/>
      <sheetName val="Capitalization Details (Scheme)"/>
      <sheetName val="Depreciation (2025-26)"/>
      <sheetName val="Depreciation"/>
      <sheetName val="Returrn on Equity"/>
      <sheetName val="Interest on Loan"/>
      <sheetName val="Operation and Maintenance Exp."/>
      <sheetName val="Employee Expenses"/>
      <sheetName val="R&amp;M Expenses"/>
      <sheetName val="A&amp;G Expenses"/>
      <sheetName val="IOWC"/>
      <sheetName val="Other Income"/>
    </sheetNames>
    <sheetDataSet>
      <sheetData sheetId="0">
        <row r="15">
          <cell r="E15">
            <v>9.2250548578357776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8"/>
  <sheetViews>
    <sheetView tabSelected="1" topLeftCell="A4" workbookViewId="0">
      <selection activeCell="L8" sqref="L8"/>
    </sheetView>
  </sheetViews>
  <sheetFormatPr defaultRowHeight="14.5" x14ac:dyDescent="0.35"/>
  <cols>
    <col min="1" max="2" width="8.7265625" style="1"/>
    <col min="3" max="3" width="35.08984375" style="1" customWidth="1"/>
    <col min="4" max="4" width="10.36328125" style="1" customWidth="1"/>
    <col min="5" max="5" width="11.81640625" style="1" customWidth="1"/>
    <col min="6" max="16384" width="8.7265625" style="1"/>
  </cols>
  <sheetData>
    <row r="5" spans="3:5" ht="43.5" x14ac:dyDescent="0.35">
      <c r="C5" s="2" t="s">
        <v>0</v>
      </c>
      <c r="D5" s="3" t="s">
        <v>137</v>
      </c>
      <c r="E5" s="3" t="s">
        <v>59</v>
      </c>
    </row>
    <row r="6" spans="3:5" x14ac:dyDescent="0.35">
      <c r="C6" s="4" t="s">
        <v>92</v>
      </c>
      <c r="D6" s="7">
        <v>20.04</v>
      </c>
      <c r="E6" s="5">
        <f>Depreciation!K19</f>
        <v>20.004339365104819</v>
      </c>
    </row>
    <row r="7" spans="3:5" x14ac:dyDescent="0.35">
      <c r="C7" s="4" t="s">
        <v>44</v>
      </c>
      <c r="D7" s="5">
        <v>0</v>
      </c>
      <c r="E7" s="5">
        <f>'Interest on Loan'!F12</f>
        <v>0</v>
      </c>
    </row>
    <row r="8" spans="3:5" x14ac:dyDescent="0.35">
      <c r="C8" s="4" t="s">
        <v>54</v>
      </c>
      <c r="D8" s="7">
        <v>18.43</v>
      </c>
      <c r="E8" s="5">
        <f>'Return on Equity'!F16</f>
        <v>17.99221195573201</v>
      </c>
    </row>
    <row r="9" spans="3:5" x14ac:dyDescent="0.35">
      <c r="C9" s="4" t="s">
        <v>93</v>
      </c>
      <c r="D9" s="7">
        <v>72.08</v>
      </c>
      <c r="E9" s="5">
        <f>'Operation and Maintenance Exp.'!E9</f>
        <v>67.144540669839841</v>
      </c>
    </row>
    <row r="10" spans="3:5" x14ac:dyDescent="0.35">
      <c r="C10" s="4" t="s">
        <v>94</v>
      </c>
      <c r="D10" s="7">
        <v>4.74</v>
      </c>
      <c r="E10" s="5">
        <f ca="1">IOWC!D11</f>
        <v>5.0379945189992741</v>
      </c>
    </row>
    <row r="11" spans="3:5" x14ac:dyDescent="0.35">
      <c r="C11" s="4" t="s">
        <v>95</v>
      </c>
      <c r="D11" s="7">
        <v>10.28</v>
      </c>
      <c r="E11" s="5">
        <f>'[3]Summary ARR'!$E$15/2</f>
        <v>4.6125274289178888</v>
      </c>
    </row>
    <row r="12" spans="3:5" x14ac:dyDescent="0.35">
      <c r="C12" s="8" t="s">
        <v>32</v>
      </c>
      <c r="D12" s="10">
        <f>SUM(D6:D11)</f>
        <v>125.57</v>
      </c>
      <c r="E12" s="9">
        <f ca="1">SUM(E6:E11)</f>
        <v>114.79161393859383</v>
      </c>
    </row>
    <row r="13" spans="3:5" x14ac:dyDescent="0.35">
      <c r="C13" s="4" t="s">
        <v>96</v>
      </c>
      <c r="D13" s="5">
        <v>8.1</v>
      </c>
      <c r="E13" s="5">
        <f>'Other Income'!F15</f>
        <v>4.7306094303226409</v>
      </c>
    </row>
    <row r="14" spans="3:5" x14ac:dyDescent="0.35">
      <c r="C14" s="8" t="s">
        <v>97</v>
      </c>
      <c r="D14" s="10">
        <f>D12-D13</f>
        <v>117.47</v>
      </c>
      <c r="E14" s="9">
        <f ca="1">E12-E13</f>
        <v>110.06100450827118</v>
      </c>
    </row>
    <row r="15" spans="3:5" x14ac:dyDescent="0.35">
      <c r="C15" s="4" t="s">
        <v>98</v>
      </c>
      <c r="D15" s="7">
        <v>0</v>
      </c>
      <c r="E15" s="5">
        <f>'[1]Summary ARR'!$E$23</f>
        <v>-14.160402666454587</v>
      </c>
    </row>
    <row r="16" spans="3:5" ht="29" x14ac:dyDescent="0.35">
      <c r="C16" s="19" t="s">
        <v>117</v>
      </c>
      <c r="D16" s="7">
        <v>0</v>
      </c>
      <c r="E16" s="5">
        <v>35.42</v>
      </c>
    </row>
    <row r="17" spans="3:5" ht="29" x14ac:dyDescent="0.35">
      <c r="C17" s="19" t="s">
        <v>118</v>
      </c>
      <c r="D17" s="7">
        <v>0</v>
      </c>
      <c r="E17" s="5">
        <v>0.63</v>
      </c>
    </row>
    <row r="18" spans="3:5" x14ac:dyDescent="0.35">
      <c r="C18" s="8" t="s">
        <v>99</v>
      </c>
      <c r="D18" s="10">
        <f>D14+D15+D16+D17</f>
        <v>117.47</v>
      </c>
      <c r="E18" s="9">
        <f ca="1">E14+E15+E16+E17</f>
        <v>131.95060184181659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25"/>
  <sheetViews>
    <sheetView topLeftCell="A8" workbookViewId="0">
      <selection activeCell="D23" sqref="D23"/>
    </sheetView>
  </sheetViews>
  <sheetFormatPr defaultRowHeight="14.5" x14ac:dyDescent="0.35"/>
  <cols>
    <col min="1" max="2" width="8.7265625" style="1"/>
    <col min="3" max="3" width="53.36328125" style="1" bestFit="1" customWidth="1"/>
    <col min="4" max="6" width="9.81640625" style="1" customWidth="1"/>
    <col min="7" max="16384" width="8.7265625" style="1"/>
  </cols>
  <sheetData>
    <row r="1" spans="3:6" x14ac:dyDescent="0.35">
      <c r="C1" s="11" t="s">
        <v>60</v>
      </c>
      <c r="D1" s="21">
        <v>5.7200000000000001E-2</v>
      </c>
    </row>
    <row r="5" spans="3:6" ht="29" x14ac:dyDescent="0.35">
      <c r="C5" s="2" t="s">
        <v>0</v>
      </c>
      <c r="D5" s="3" t="s">
        <v>37</v>
      </c>
      <c r="E5" s="3" t="s">
        <v>47</v>
      </c>
      <c r="F5" s="3" t="s">
        <v>45</v>
      </c>
    </row>
    <row r="6" spans="3:6" x14ac:dyDescent="0.35">
      <c r="C6" s="4" t="s">
        <v>67</v>
      </c>
      <c r="D6" s="5">
        <f>'[1]A&amp;G Expenses'!G5</f>
        <v>0.9858146000000001</v>
      </c>
      <c r="E6" s="5">
        <f t="shared" ref="E6:F24" si="0">D6*(1+$D$1)</f>
        <v>1.0422031951199999</v>
      </c>
      <c r="F6" s="5">
        <f t="shared" si="0"/>
        <v>1.1018172178808638</v>
      </c>
    </row>
    <row r="7" spans="3:6" x14ac:dyDescent="0.35">
      <c r="C7" s="4" t="s">
        <v>68</v>
      </c>
      <c r="D7" s="5">
        <f>'[1]A&amp;G Expenses'!G6</f>
        <v>0</v>
      </c>
      <c r="E7" s="5">
        <f t="shared" si="0"/>
        <v>0</v>
      </c>
      <c r="F7" s="5">
        <f t="shared" si="0"/>
        <v>0</v>
      </c>
    </row>
    <row r="8" spans="3:6" x14ac:dyDescent="0.35">
      <c r="C8" s="4" t="s">
        <v>69</v>
      </c>
      <c r="D8" s="5">
        <f>'[1]A&amp;G Expenses'!G7</f>
        <v>1.7541500000000002E-2</v>
      </c>
      <c r="E8" s="5">
        <f t="shared" si="0"/>
        <v>1.85448738E-2</v>
      </c>
      <c r="F8" s="5">
        <f t="shared" si="0"/>
        <v>1.9605640581359999E-2</v>
      </c>
    </row>
    <row r="9" spans="3:6" x14ac:dyDescent="0.35">
      <c r="C9" s="4" t="s">
        <v>70</v>
      </c>
      <c r="D9" s="5">
        <f>'[1]A&amp;G Expenses'!G8</f>
        <v>1.6460980999999999</v>
      </c>
      <c r="E9" s="5">
        <f t="shared" si="0"/>
        <v>1.7402549113199997</v>
      </c>
      <c r="F9" s="5">
        <f t="shared" si="0"/>
        <v>1.8397974922475036</v>
      </c>
    </row>
    <row r="10" spans="3:6" x14ac:dyDescent="0.35">
      <c r="C10" s="4" t="s">
        <v>71</v>
      </c>
      <c r="D10" s="5">
        <f>'[1]A&amp;G Expenses'!G9</f>
        <v>4.3414299999999996E-2</v>
      </c>
      <c r="E10" s="5">
        <f t="shared" si="0"/>
        <v>4.5897597959999994E-2</v>
      </c>
      <c r="F10" s="5">
        <f t="shared" si="0"/>
        <v>4.8522940563311988E-2</v>
      </c>
    </row>
    <row r="11" spans="3:6" x14ac:dyDescent="0.35">
      <c r="C11" s="4" t="s">
        <v>72</v>
      </c>
      <c r="D11" s="5">
        <f>'[1]A&amp;G Expenses'!G10</f>
        <v>3.875E-2</v>
      </c>
      <c r="E11" s="5">
        <f t="shared" si="0"/>
        <v>4.0966499999999996E-2</v>
      </c>
      <c r="F11" s="5">
        <f t="shared" si="0"/>
        <v>4.3309783799999994E-2</v>
      </c>
    </row>
    <row r="12" spans="3:6" x14ac:dyDescent="0.35">
      <c r="C12" s="4" t="s">
        <v>73</v>
      </c>
      <c r="D12" s="5">
        <f>'[1]A&amp;G Expenses'!G11</f>
        <v>1.08E-4</v>
      </c>
      <c r="E12" s="5">
        <f t="shared" si="0"/>
        <v>1.1417759999999999E-4</v>
      </c>
      <c r="F12" s="5">
        <f t="shared" si="0"/>
        <v>1.2070855871999998E-4</v>
      </c>
    </row>
    <row r="13" spans="3:6" x14ac:dyDescent="0.35">
      <c r="C13" s="4" t="s">
        <v>74</v>
      </c>
      <c r="D13" s="5">
        <f>'[1]A&amp;G Expenses'!G12</f>
        <v>2.93742E-2</v>
      </c>
      <c r="E13" s="5">
        <f t="shared" si="0"/>
        <v>3.1054404239999996E-2</v>
      </c>
      <c r="F13" s="5">
        <f t="shared" si="0"/>
        <v>3.2830716162527994E-2</v>
      </c>
    </row>
    <row r="14" spans="3:6" x14ac:dyDescent="0.35">
      <c r="C14" s="22" t="s">
        <v>75</v>
      </c>
      <c r="D14" s="5">
        <f>'[1]A&amp;G Expenses'!G13</f>
        <v>8.0000000000000002E-3</v>
      </c>
      <c r="E14" s="5">
        <f t="shared" si="0"/>
        <v>8.4575999999999991E-3</v>
      </c>
      <c r="F14" s="5">
        <f t="shared" si="0"/>
        <v>8.9413747199999991E-3</v>
      </c>
    </row>
    <row r="15" spans="3:6" x14ac:dyDescent="0.35">
      <c r="C15" s="4" t="s">
        <v>76</v>
      </c>
      <c r="D15" s="5">
        <f>'[1]A&amp;G Expenses'!G14</f>
        <v>0.17776150000000002</v>
      </c>
      <c r="E15" s="5">
        <f t="shared" si="0"/>
        <v>0.1879294578</v>
      </c>
      <c r="F15" s="5">
        <f t="shared" si="0"/>
        <v>0.19867902278615998</v>
      </c>
    </row>
    <row r="16" spans="3:6" x14ac:dyDescent="0.35">
      <c r="C16" s="4" t="s">
        <v>77</v>
      </c>
      <c r="D16" s="5">
        <f>'[1]A&amp;G Expenses'!G15</f>
        <v>5.8999999999999997E-2</v>
      </c>
      <c r="E16" s="5">
        <f t="shared" si="0"/>
        <v>6.2374799999999994E-2</v>
      </c>
      <c r="F16" s="5">
        <f t="shared" si="0"/>
        <v>6.5942638559999989E-2</v>
      </c>
    </row>
    <row r="17" spans="3:6" x14ac:dyDescent="0.35">
      <c r="C17" s="4" t="s">
        <v>78</v>
      </c>
      <c r="D17" s="5">
        <f>'[1]A&amp;G Expenses'!G16</f>
        <v>0.29099510000000001</v>
      </c>
      <c r="E17" s="5">
        <f t="shared" si="0"/>
        <v>0.30764001971999999</v>
      </c>
      <c r="F17" s="5">
        <f t="shared" si="0"/>
        <v>0.32523702884798394</v>
      </c>
    </row>
    <row r="18" spans="3:6" x14ac:dyDescent="0.35">
      <c r="C18" s="4" t="s">
        <v>79</v>
      </c>
      <c r="D18" s="5">
        <f>'[1]A&amp;G Expenses'!G17</f>
        <v>6.1075800000000009E-4</v>
      </c>
      <c r="E18" s="5">
        <f t="shared" si="0"/>
        <v>6.4569335760000009E-4</v>
      </c>
      <c r="F18" s="5">
        <f t="shared" si="0"/>
        <v>6.8262701765472002E-4</v>
      </c>
    </row>
    <row r="19" spans="3:6" x14ac:dyDescent="0.35">
      <c r="C19" s="4" t="s">
        <v>80</v>
      </c>
      <c r="D19" s="5">
        <f>'[1]A&amp;G Expenses'!G18</f>
        <v>3.75821E-2</v>
      </c>
      <c r="E19" s="5">
        <f t="shared" si="0"/>
        <v>3.9731796119999996E-2</v>
      </c>
      <c r="F19" s="5">
        <f t="shared" si="0"/>
        <v>4.2004454858063991E-2</v>
      </c>
    </row>
    <row r="20" spans="3:6" x14ac:dyDescent="0.35">
      <c r="C20" s="4" t="s">
        <v>81</v>
      </c>
      <c r="D20" s="5">
        <f>'[1]A&amp;G Expenses'!G19</f>
        <v>1.0598487000000001</v>
      </c>
      <c r="E20" s="5">
        <f t="shared" si="0"/>
        <v>1.1204720456399999</v>
      </c>
      <c r="F20" s="5">
        <f t="shared" si="0"/>
        <v>1.1845630466506079</v>
      </c>
    </row>
    <row r="21" spans="3:6" x14ac:dyDescent="0.35">
      <c r="C21" s="4" t="s">
        <v>82</v>
      </c>
      <c r="D21" s="5">
        <f>'[1]A&amp;G Expenses'!G20</f>
        <v>8.3700000000000007E-3</v>
      </c>
      <c r="E21" s="5">
        <f t="shared" si="0"/>
        <v>8.8487640000000003E-3</v>
      </c>
      <c r="F21" s="5">
        <f t="shared" si="0"/>
        <v>9.3549133007999989E-3</v>
      </c>
    </row>
    <row r="22" spans="3:6" x14ac:dyDescent="0.35">
      <c r="C22" s="4" t="s">
        <v>83</v>
      </c>
      <c r="D22" s="5">
        <f>'[1]A&amp;G Expenses'!G21</f>
        <v>5.3099999999999996E-3</v>
      </c>
      <c r="E22" s="5">
        <f t="shared" si="0"/>
        <v>5.6137319999999989E-3</v>
      </c>
      <c r="F22" s="5">
        <f t="shared" si="0"/>
        <v>5.9348374703999986E-3</v>
      </c>
    </row>
    <row r="23" spans="3:6" x14ac:dyDescent="0.35">
      <c r="C23" s="8" t="s">
        <v>84</v>
      </c>
      <c r="D23" s="9">
        <f>SUM(D6:D22)</f>
        <v>4.4085788579999994</v>
      </c>
      <c r="E23" s="9">
        <f t="shared" ref="E23:F23" si="1">SUM(E6:E22)</f>
        <v>4.6607495686775984</v>
      </c>
      <c r="F23" s="9">
        <f t="shared" si="1"/>
        <v>4.9273444440059579</v>
      </c>
    </row>
    <row r="24" spans="3:6" x14ac:dyDescent="0.35">
      <c r="C24" s="4" t="s">
        <v>85</v>
      </c>
      <c r="D24" s="5">
        <f>'[1]A&amp;G Expenses'!G23</f>
        <v>0.86689025333333347</v>
      </c>
      <c r="E24" s="5">
        <f t="shared" si="0"/>
        <v>0.9164763758240001</v>
      </c>
      <c r="F24" s="5">
        <f t="shared" si="0"/>
        <v>0.96889882452113285</v>
      </c>
    </row>
    <row r="25" spans="3:6" x14ac:dyDescent="0.35">
      <c r="C25" s="8" t="s">
        <v>86</v>
      </c>
      <c r="D25" s="9">
        <f t="shared" ref="D25:F25" si="2">D23+D24</f>
        <v>5.275469111333333</v>
      </c>
      <c r="E25" s="9">
        <f t="shared" si="2"/>
        <v>5.5772259445015981</v>
      </c>
      <c r="F25" s="9">
        <f t="shared" si="2"/>
        <v>5.8962432685270905</v>
      </c>
    </row>
  </sheetData>
  <pageMargins left="0.7" right="0.7" top="0.75" bottom="0.75" header="0.3" footer="0.3"/>
  <ignoredErrors>
    <ignoredError sqref="E23:F23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D11"/>
  <sheetViews>
    <sheetView workbookViewId="0">
      <selection activeCell="C5" sqref="C5:D11"/>
    </sheetView>
  </sheetViews>
  <sheetFormatPr defaultRowHeight="14.5" x14ac:dyDescent="0.35"/>
  <cols>
    <col min="1" max="2" width="8.7265625" style="1"/>
    <col min="3" max="3" width="42.36328125" style="1" bestFit="1" customWidth="1"/>
    <col min="4" max="16384" width="8.7265625" style="1"/>
  </cols>
  <sheetData>
    <row r="5" spans="3:4" ht="29" x14ac:dyDescent="0.35">
      <c r="C5" s="2" t="s">
        <v>0</v>
      </c>
      <c r="D5" s="3" t="s">
        <v>101</v>
      </c>
    </row>
    <row r="6" spans="3:4" x14ac:dyDescent="0.35">
      <c r="C6" s="4" t="s">
        <v>102</v>
      </c>
      <c r="D6" s="5">
        <f>'Operation and Maintenance Exp.'!E9/12</f>
        <v>5.5953783891533204</v>
      </c>
    </row>
    <row r="7" spans="3:4" x14ac:dyDescent="0.35">
      <c r="C7" s="4" t="s">
        <v>103</v>
      </c>
      <c r="D7" s="5">
        <f>'GFA and Grants'!F6*1%*(1+6%)^2</f>
        <v>9.3152100937924587</v>
      </c>
    </row>
    <row r="8" spans="3:4" x14ac:dyDescent="0.35">
      <c r="C8" s="4" t="s">
        <v>104</v>
      </c>
      <c r="D8" s="5">
        <f ca="1">'Summary ARR'!E14/12*2</f>
        <v>18.343500751372858</v>
      </c>
    </row>
    <row r="9" spans="3:4" x14ac:dyDescent="0.35">
      <c r="C9" s="8" t="s">
        <v>105</v>
      </c>
      <c r="D9" s="9">
        <f ca="1">SUM(D6:D8)</f>
        <v>33.254089234318641</v>
      </c>
    </row>
    <row r="10" spans="3:4" x14ac:dyDescent="0.35">
      <c r="C10" s="8" t="s">
        <v>106</v>
      </c>
      <c r="D10" s="18">
        <v>0.1515</v>
      </c>
    </row>
    <row r="11" spans="3:4" x14ac:dyDescent="0.35">
      <c r="C11" s="8" t="s">
        <v>94</v>
      </c>
      <c r="D11" s="9">
        <f ca="1">D9*D10</f>
        <v>5.0379945189992741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5"/>
  <sheetViews>
    <sheetView workbookViewId="0">
      <selection activeCell="C5" sqref="C5:F15"/>
    </sheetView>
  </sheetViews>
  <sheetFormatPr defaultRowHeight="14.5" x14ac:dyDescent="0.35"/>
  <cols>
    <col min="1" max="2" width="8.7265625" style="1"/>
    <col min="3" max="3" width="34.81640625" style="1" customWidth="1"/>
    <col min="4" max="16384" width="8.7265625" style="1"/>
  </cols>
  <sheetData>
    <row r="1" spans="3:6" x14ac:dyDescent="0.35">
      <c r="C1" s="12" t="s">
        <v>107</v>
      </c>
      <c r="D1" s="32">
        <v>5.7200000000000001E-2</v>
      </c>
    </row>
    <row r="5" spans="3:6" ht="29" x14ac:dyDescent="0.35">
      <c r="C5" s="2" t="s">
        <v>0</v>
      </c>
      <c r="D5" s="3" t="s">
        <v>37</v>
      </c>
      <c r="E5" s="3" t="s">
        <v>47</v>
      </c>
      <c r="F5" s="3" t="s">
        <v>45</v>
      </c>
    </row>
    <row r="6" spans="3:6" x14ac:dyDescent="0.35">
      <c r="C6" s="4" t="s">
        <v>108</v>
      </c>
      <c r="D6" s="5">
        <f>'[1]Other Income'!G6</f>
        <v>2.2531487000000001</v>
      </c>
      <c r="E6" s="5">
        <f t="shared" ref="E6:F13" si="0">D6*(1+$D$1)</f>
        <v>2.3820288056400001</v>
      </c>
      <c r="F6" s="5">
        <f t="shared" si="0"/>
        <v>2.518280853322608</v>
      </c>
    </row>
    <row r="7" spans="3:6" x14ac:dyDescent="0.35">
      <c r="C7" s="4" t="s">
        <v>109</v>
      </c>
      <c r="D7" s="5">
        <f>'[1]Other Income'!G7</f>
        <v>0.19696516999999999</v>
      </c>
      <c r="E7" s="5">
        <f t="shared" si="0"/>
        <v>0.20823157772399997</v>
      </c>
      <c r="F7" s="5">
        <f t="shared" si="0"/>
        <v>0.22014242396981276</v>
      </c>
    </row>
    <row r="8" spans="3:6" x14ac:dyDescent="0.35">
      <c r="C8" s="4" t="s">
        <v>110</v>
      </c>
      <c r="D8" s="5">
        <f>'[1]Other Income'!G8</f>
        <v>1.0633371</v>
      </c>
      <c r="E8" s="5">
        <f t="shared" si="0"/>
        <v>1.1241599821199999</v>
      </c>
      <c r="F8" s="5">
        <f t="shared" si="0"/>
        <v>1.1884619330972639</v>
      </c>
    </row>
    <row r="9" spans="3:6" x14ac:dyDescent="0.35">
      <c r="C9" s="4" t="s">
        <v>111</v>
      </c>
      <c r="D9" s="5">
        <f>'[1]Other Income'!G9</f>
        <v>0.17605214</v>
      </c>
      <c r="E9" s="5">
        <f t="shared" si="0"/>
        <v>0.18612232240799997</v>
      </c>
      <c r="F9" s="5">
        <f t="shared" si="0"/>
        <v>0.19676851924973757</v>
      </c>
    </row>
    <row r="10" spans="3:6" x14ac:dyDescent="0.35">
      <c r="C10" s="4" t="s">
        <v>112</v>
      </c>
      <c r="D10" s="5">
        <f>'[1]Other Income'!G10</f>
        <v>0</v>
      </c>
      <c r="E10" s="5">
        <f t="shared" si="0"/>
        <v>0</v>
      </c>
      <c r="F10" s="5">
        <f t="shared" si="0"/>
        <v>0</v>
      </c>
    </row>
    <row r="11" spans="3:6" x14ac:dyDescent="0.35">
      <c r="C11" s="4" t="s">
        <v>113</v>
      </c>
      <c r="D11" s="5">
        <f>'[1]Other Income'!G11</f>
        <v>0.14589569999999999</v>
      </c>
      <c r="E11" s="5">
        <f t="shared" si="0"/>
        <v>0.15424093403999997</v>
      </c>
      <c r="F11" s="5">
        <f t="shared" si="0"/>
        <v>0.16306351546708794</v>
      </c>
    </row>
    <row r="12" spans="3:6" x14ac:dyDescent="0.35">
      <c r="C12" s="4" t="s">
        <v>114</v>
      </c>
      <c r="D12" s="5">
        <f>'[1]Other Income'!G12</f>
        <v>5.0046399999999998E-2</v>
      </c>
      <c r="E12" s="5">
        <f t="shared" si="0"/>
        <v>5.2909054079999997E-2</v>
      </c>
      <c r="F12" s="5">
        <f t="shared" si="0"/>
        <v>5.5935451973375995E-2</v>
      </c>
    </row>
    <row r="13" spans="3:6" x14ac:dyDescent="0.35">
      <c r="C13" s="4" t="s">
        <v>115</v>
      </c>
      <c r="D13" s="5">
        <f>'[1]Other Income'!G13</f>
        <v>0.34711148599999997</v>
      </c>
      <c r="E13" s="5">
        <f t="shared" si="0"/>
        <v>0.36696626299919993</v>
      </c>
      <c r="F13" s="5">
        <f t="shared" si="0"/>
        <v>0.38795673324275415</v>
      </c>
    </row>
    <row r="14" spans="3:6" x14ac:dyDescent="0.35">
      <c r="C14" s="4" t="s">
        <v>116</v>
      </c>
      <c r="D14" s="5">
        <f>'[1]Other Income'!G14</f>
        <v>2.3014050639999999</v>
      </c>
      <c r="E14" s="5">
        <v>0</v>
      </c>
      <c r="F14" s="5">
        <v>0</v>
      </c>
    </row>
    <row r="15" spans="3:6" x14ac:dyDescent="0.35">
      <c r="C15" s="23" t="s">
        <v>32</v>
      </c>
      <c r="D15" s="9">
        <f t="shared" ref="D15:F15" si="1">SUM(D6:D14)</f>
        <v>6.5339617599999995</v>
      </c>
      <c r="E15" s="9">
        <f t="shared" si="1"/>
        <v>4.4746589390111993</v>
      </c>
      <c r="F15" s="9">
        <f t="shared" si="1"/>
        <v>4.7306094303226409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29"/>
  <sheetViews>
    <sheetView topLeftCell="A4" workbookViewId="0">
      <selection activeCell="G14" sqref="G14"/>
    </sheetView>
  </sheetViews>
  <sheetFormatPr defaultRowHeight="14.5" x14ac:dyDescent="0.35"/>
  <cols>
    <col min="1" max="2" width="8.7265625" style="1"/>
    <col min="3" max="3" width="34.7265625" style="1" customWidth="1"/>
    <col min="4" max="4" width="12.1796875" style="1" customWidth="1"/>
    <col min="5" max="5" width="12.6328125" style="1" customWidth="1"/>
    <col min="6" max="6" width="10.90625" style="1" bestFit="1" customWidth="1"/>
    <col min="7" max="16384" width="8.7265625" style="1"/>
  </cols>
  <sheetData>
    <row r="5" spans="2:7" ht="43.5" x14ac:dyDescent="0.35">
      <c r="C5" s="2" t="s">
        <v>0</v>
      </c>
      <c r="D5" s="3" t="s">
        <v>119</v>
      </c>
      <c r="E5" s="3" t="s">
        <v>120</v>
      </c>
      <c r="F5" s="10" t="s">
        <v>121</v>
      </c>
    </row>
    <row r="6" spans="2:7" x14ac:dyDescent="0.35">
      <c r="C6" s="4" t="s">
        <v>122</v>
      </c>
      <c r="D6" s="7">
        <v>404</v>
      </c>
      <c r="E6" s="7">
        <v>2237</v>
      </c>
      <c r="F6" s="20">
        <f t="shared" ref="F6:F7" si="0">E6*10^6/(D6*10^3*8760)</f>
        <v>0.6320923188209232</v>
      </c>
    </row>
    <row r="7" spans="2:7" x14ac:dyDescent="0.35">
      <c r="C7" s="4" t="s">
        <v>123</v>
      </c>
      <c r="D7" s="7">
        <v>405</v>
      </c>
      <c r="E7" s="7">
        <v>2066</v>
      </c>
      <c r="F7" s="20">
        <f t="shared" si="0"/>
        <v>0.58233271323073454</v>
      </c>
    </row>
    <row r="8" spans="2:7" x14ac:dyDescent="0.35">
      <c r="C8" s="4" t="s">
        <v>124</v>
      </c>
      <c r="D8" s="7">
        <v>409</v>
      </c>
      <c r="E8" s="7">
        <v>2046</v>
      </c>
      <c r="F8" s="20">
        <f>E8*10^6/(D8*10^3*8760)</f>
        <v>0.57105536390126266</v>
      </c>
    </row>
    <row r="9" spans="2:7" x14ac:dyDescent="0.35">
      <c r="C9" s="8" t="s">
        <v>126</v>
      </c>
      <c r="D9" s="36">
        <f>(D8/D6)^(1/COUNT(D6:D8))-1</f>
        <v>4.1085095733301991E-3</v>
      </c>
      <c r="E9" s="34"/>
      <c r="F9" s="35"/>
    </row>
    <row r="10" spans="2:7" x14ac:dyDescent="0.35">
      <c r="D10" s="24"/>
      <c r="G10" s="33" t="s">
        <v>136</v>
      </c>
    </row>
    <row r="11" spans="2:7" x14ac:dyDescent="0.35">
      <c r="C11" s="4" t="s">
        <v>128</v>
      </c>
      <c r="D11" s="25">
        <f>AVERAGE(F6:F8)</f>
        <v>0.59516013198430684</v>
      </c>
    </row>
    <row r="12" spans="2:7" x14ac:dyDescent="0.35">
      <c r="C12" s="4" t="s">
        <v>125</v>
      </c>
      <c r="D12" s="26">
        <f>D8*(1+D9)^2</f>
        <v>412.36766469000798</v>
      </c>
    </row>
    <row r="13" spans="2:7" x14ac:dyDescent="0.35">
      <c r="C13" s="4" t="s">
        <v>127</v>
      </c>
      <c r="D13" s="26">
        <f>D12*D11</f>
        <v>245.42479374296553</v>
      </c>
    </row>
    <row r="15" spans="2:7" x14ac:dyDescent="0.35">
      <c r="B15" s="28" t="s">
        <v>129</v>
      </c>
      <c r="C15" s="29" t="s">
        <v>0</v>
      </c>
      <c r="D15" s="28" t="s">
        <v>135</v>
      </c>
    </row>
    <row r="16" spans="2:7" x14ac:dyDescent="0.35">
      <c r="B16" s="7">
        <v>1</v>
      </c>
      <c r="C16" s="27" t="s">
        <v>130</v>
      </c>
      <c r="D16" s="26">
        <f ca="1">'Summary ARR'!E18</f>
        <v>131.95060184181659</v>
      </c>
    </row>
    <row r="17" spans="2:4" x14ac:dyDescent="0.35">
      <c r="B17" s="7">
        <v>2</v>
      </c>
      <c r="C17" s="27" t="s">
        <v>131</v>
      </c>
      <c r="D17" s="26">
        <f>D13</f>
        <v>245.42479374296553</v>
      </c>
    </row>
    <row r="18" spans="2:4" x14ac:dyDescent="0.35">
      <c r="B18" s="10">
        <v>3</v>
      </c>
      <c r="C18" s="30" t="s">
        <v>132</v>
      </c>
      <c r="D18" s="31">
        <f ca="1">D16*10^7/D17/365</f>
        <v>14729.909422899107</v>
      </c>
    </row>
    <row r="19" spans="2:4" x14ac:dyDescent="0.35">
      <c r="B19" s="7">
        <v>4</v>
      </c>
      <c r="C19" s="27" t="s">
        <v>133</v>
      </c>
      <c r="D19" s="26">
        <f>'[2]Revenue from Existing T'!$F$23</f>
        <v>2195.7876000000001</v>
      </c>
    </row>
    <row r="20" spans="2:4" x14ac:dyDescent="0.35">
      <c r="B20" s="10">
        <v>5</v>
      </c>
      <c r="C20" s="30" t="s">
        <v>134</v>
      </c>
      <c r="D20" s="31">
        <f ca="1">D16/D19*10*100</f>
        <v>60.092607245717474</v>
      </c>
    </row>
    <row r="26" spans="2:4" x14ac:dyDescent="0.35">
      <c r="C26" s="1" t="s">
        <v>138</v>
      </c>
      <c r="D26" s="1">
        <f>D19*10^6</f>
        <v>2195787600</v>
      </c>
    </row>
    <row r="27" spans="2:4" x14ac:dyDescent="0.35">
      <c r="C27" s="1" t="s">
        <v>139</v>
      </c>
      <c r="D27" s="1">
        <f>D26/100</f>
        <v>21957876</v>
      </c>
    </row>
    <row r="28" spans="2:4" x14ac:dyDescent="0.35">
      <c r="C28" s="1" t="s">
        <v>140</v>
      </c>
      <c r="D28" s="1">
        <v>3.5000000000000003E-2</v>
      </c>
    </row>
    <row r="29" spans="2:4" x14ac:dyDescent="0.35">
      <c r="C29" s="1" t="s">
        <v>141</v>
      </c>
      <c r="D29" s="37">
        <f>D27*D28</f>
        <v>768525.66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18"/>
  <sheetViews>
    <sheetView topLeftCell="A4" workbookViewId="0">
      <selection activeCell="C5" sqref="C5:F18"/>
    </sheetView>
  </sheetViews>
  <sheetFormatPr defaultRowHeight="14.5" x14ac:dyDescent="0.35"/>
  <cols>
    <col min="1" max="2" width="8.7265625" style="1"/>
    <col min="3" max="3" width="35.08984375" style="1" customWidth="1"/>
    <col min="4" max="5" width="12" style="1" customWidth="1"/>
    <col min="6" max="6" width="11.6328125" style="1" customWidth="1"/>
    <col min="7" max="9" width="8.7265625" style="1"/>
    <col min="10" max="10" width="25.7265625" style="1" customWidth="1"/>
    <col min="11" max="16384" width="8.7265625" style="1"/>
  </cols>
  <sheetData>
    <row r="5" spans="3:11" ht="43.5" x14ac:dyDescent="0.35">
      <c r="C5" s="2" t="s">
        <v>0</v>
      </c>
      <c r="D5" s="3" t="s">
        <v>1</v>
      </c>
      <c r="E5" s="3" t="s">
        <v>2</v>
      </c>
      <c r="F5" s="3" t="s">
        <v>3</v>
      </c>
    </row>
    <row r="6" spans="3:11" x14ac:dyDescent="0.35">
      <c r="C6" s="4" t="s">
        <v>4</v>
      </c>
      <c r="D6" s="5">
        <f>'[1]GFA and Funding Pattern'!$F$5</f>
        <v>641.25077074600006</v>
      </c>
      <c r="E6" s="5">
        <f>D9</f>
        <v>705.78038214600008</v>
      </c>
      <c r="F6" s="5">
        <f>E9</f>
        <v>829.05038214600006</v>
      </c>
      <c r="J6" s="12" t="s">
        <v>15</v>
      </c>
      <c r="K6" s="13">
        <v>0.7</v>
      </c>
    </row>
    <row r="7" spans="3:11" x14ac:dyDescent="0.35">
      <c r="C7" s="6" t="s">
        <v>5</v>
      </c>
      <c r="D7" s="5">
        <f>'[1]GFA and Funding Pattern'!$F$6</f>
        <v>65.186605499999999</v>
      </c>
      <c r="E7" s="7">
        <v>123.27</v>
      </c>
      <c r="F7" s="7">
        <v>999.71</v>
      </c>
      <c r="J7" s="12" t="s">
        <v>16</v>
      </c>
      <c r="K7" s="13">
        <v>0.3</v>
      </c>
    </row>
    <row r="8" spans="3:11" x14ac:dyDescent="0.35">
      <c r="C8" s="6" t="s">
        <v>6</v>
      </c>
      <c r="D8" s="5">
        <f>'[1]GFA and Funding Pattern'!$F$7</f>
        <v>0.65699410000000003</v>
      </c>
      <c r="E8" s="7">
        <v>0</v>
      </c>
      <c r="F8" s="7">
        <v>0</v>
      </c>
    </row>
    <row r="9" spans="3:11" x14ac:dyDescent="0.35">
      <c r="C9" s="8" t="s">
        <v>7</v>
      </c>
      <c r="D9" s="9">
        <f t="shared" ref="D9:F9" si="0">D6+D7-D8</f>
        <v>705.78038214600008</v>
      </c>
      <c r="E9" s="9">
        <f t="shared" si="0"/>
        <v>829.05038214600006</v>
      </c>
      <c r="F9" s="9">
        <f t="shared" si="0"/>
        <v>1828.7603821460002</v>
      </c>
    </row>
    <row r="10" spans="3:11" x14ac:dyDescent="0.35">
      <c r="C10" s="8" t="s">
        <v>8</v>
      </c>
      <c r="D10" s="9">
        <f t="shared" ref="D10:F10" si="1">AVERAGE(D6,D9)</f>
        <v>673.51557644600007</v>
      </c>
      <c r="E10" s="9">
        <f t="shared" si="1"/>
        <v>767.41538214600007</v>
      </c>
      <c r="F10" s="9">
        <f t="shared" si="1"/>
        <v>1328.9053821460002</v>
      </c>
    </row>
    <row r="11" spans="3:11" x14ac:dyDescent="0.35">
      <c r="C11" s="4"/>
      <c r="D11" s="4"/>
      <c r="E11" s="4"/>
      <c r="F11" s="4"/>
    </row>
    <row r="12" spans="3:11" x14ac:dyDescent="0.35">
      <c r="C12" s="4" t="s">
        <v>9</v>
      </c>
      <c r="D12" s="5">
        <f>'[1]GFA and Funding Pattern'!$F$11</f>
        <v>218.08</v>
      </c>
      <c r="E12" s="5">
        <f>D14</f>
        <v>282.6943832</v>
      </c>
      <c r="F12" s="5">
        <f>E14</f>
        <v>400.66438319999997</v>
      </c>
    </row>
    <row r="13" spans="3:11" x14ac:dyDescent="0.35">
      <c r="C13" s="4" t="s">
        <v>10</v>
      </c>
      <c r="D13" s="5">
        <f>'[1]GFA and Funding Pattern'!$F$12</f>
        <v>64.614383200000006</v>
      </c>
      <c r="E13" s="5">
        <v>117.97</v>
      </c>
      <c r="F13" s="7">
        <v>999.71</v>
      </c>
    </row>
    <row r="14" spans="3:11" x14ac:dyDescent="0.35">
      <c r="C14" s="8" t="s">
        <v>11</v>
      </c>
      <c r="D14" s="9">
        <f t="shared" ref="D14:F14" si="2">D12+D13</f>
        <v>282.6943832</v>
      </c>
      <c r="E14" s="9">
        <f t="shared" si="2"/>
        <v>400.66438319999997</v>
      </c>
      <c r="F14" s="9">
        <f t="shared" si="2"/>
        <v>1400.3743832</v>
      </c>
    </row>
    <row r="15" spans="3:11" x14ac:dyDescent="0.35">
      <c r="C15" s="8" t="s">
        <v>12</v>
      </c>
      <c r="D15" s="9">
        <f t="shared" ref="D15:F15" si="3">AVERAGE(D12,D14)</f>
        <v>250.38719159999999</v>
      </c>
      <c r="E15" s="9">
        <f t="shared" si="3"/>
        <v>341.67938319999996</v>
      </c>
      <c r="F15" s="9">
        <f t="shared" si="3"/>
        <v>900.51938319999999</v>
      </c>
    </row>
    <row r="16" spans="3:11" x14ac:dyDescent="0.35">
      <c r="C16" s="4"/>
      <c r="D16" s="4"/>
      <c r="E16" s="4"/>
      <c r="F16" s="4"/>
    </row>
    <row r="17" spans="3:6" x14ac:dyDescent="0.35">
      <c r="C17" s="8" t="s">
        <v>13</v>
      </c>
      <c r="D17" s="9">
        <f>(D7-D13)*$K$6</f>
        <v>0.40055560999999495</v>
      </c>
      <c r="E17" s="10">
        <f t="shared" ref="E17:F17" si="4">(E7-E8-E13)*$K$6</f>
        <v>3.7099999999999977</v>
      </c>
      <c r="F17" s="10">
        <f t="shared" si="4"/>
        <v>0</v>
      </c>
    </row>
    <row r="18" spans="3:6" x14ac:dyDescent="0.35">
      <c r="C18" s="8" t="s">
        <v>14</v>
      </c>
      <c r="D18" s="9">
        <f>(D7-D13)*$K$7</f>
        <v>0.17166668999999785</v>
      </c>
      <c r="E18" s="10">
        <f t="shared" ref="E18:F18" si="5">(E7-E8-E13)*$K$7</f>
        <v>1.5899999999999992</v>
      </c>
      <c r="F18" s="10">
        <f t="shared" si="5"/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19"/>
  <sheetViews>
    <sheetView workbookViewId="0">
      <selection activeCell="K17" sqref="K17"/>
    </sheetView>
  </sheetViews>
  <sheetFormatPr defaultRowHeight="14.5" x14ac:dyDescent="0.35"/>
  <cols>
    <col min="1" max="2" width="8.7265625" style="1"/>
    <col min="3" max="3" width="34.90625" style="1" customWidth="1"/>
    <col min="4" max="4" width="10.7265625" style="1" customWidth="1"/>
    <col min="5" max="7" width="8.7265625" style="1"/>
    <col min="8" max="8" width="10.6328125" style="1" customWidth="1"/>
    <col min="9" max="9" width="11" style="1" customWidth="1"/>
    <col min="10" max="10" width="11.90625" style="1" customWidth="1"/>
    <col min="11" max="11" width="11.54296875" style="1" customWidth="1"/>
    <col min="12" max="16384" width="8.7265625" style="1"/>
  </cols>
  <sheetData>
    <row r="5" spans="3:11" ht="43.5" x14ac:dyDescent="0.35">
      <c r="C5" s="14" t="s">
        <v>0</v>
      </c>
      <c r="D5" s="15" t="s">
        <v>26</v>
      </c>
      <c r="E5" s="16" t="s">
        <v>27</v>
      </c>
      <c r="F5" s="16" t="s">
        <v>28</v>
      </c>
      <c r="G5" s="15" t="s">
        <v>7</v>
      </c>
      <c r="H5" s="15" t="s">
        <v>8</v>
      </c>
      <c r="I5" s="15" t="s">
        <v>29</v>
      </c>
      <c r="J5" s="15" t="s">
        <v>30</v>
      </c>
      <c r="K5" s="15" t="s">
        <v>31</v>
      </c>
    </row>
    <row r="6" spans="3:11" x14ac:dyDescent="0.35">
      <c r="C6" s="4" t="s">
        <v>17</v>
      </c>
      <c r="D6" s="5">
        <f>[1]Depreciation!K4</f>
        <v>12.140068153</v>
      </c>
      <c r="E6" s="7"/>
      <c r="F6" s="7"/>
      <c r="G6" s="5">
        <f t="shared" ref="G6:G14" si="0">D6+E6-F6</f>
        <v>12.140068153</v>
      </c>
      <c r="H6" s="5">
        <f t="shared" ref="H6:H14" si="1">AVERAGE(D6,G6)</f>
        <v>12.140068153</v>
      </c>
      <c r="I6" s="5">
        <f t="shared" ref="I6:I14" si="2">H6*90%</f>
        <v>10.9260613377</v>
      </c>
      <c r="J6" s="17">
        <f>[1]Depreciation!N4</f>
        <v>0</v>
      </c>
      <c r="K6" s="5">
        <f t="shared" ref="K6:K14" si="3">I6*J6</f>
        <v>0</v>
      </c>
    </row>
    <row r="7" spans="3:11" x14ac:dyDescent="0.35">
      <c r="C7" s="4" t="s">
        <v>18</v>
      </c>
      <c r="D7" s="5">
        <f>[1]Depreciation!K5</f>
        <v>18.171663963</v>
      </c>
      <c r="E7" s="7"/>
      <c r="F7" s="7"/>
      <c r="G7" s="5">
        <f t="shared" si="0"/>
        <v>18.171663963</v>
      </c>
      <c r="H7" s="5">
        <f t="shared" si="1"/>
        <v>18.171663963</v>
      </c>
      <c r="I7" s="5">
        <f t="shared" si="2"/>
        <v>16.354497566700001</v>
      </c>
      <c r="J7" s="17">
        <f>[1]Depreciation!N5</f>
        <v>3.3399999999999999E-2</v>
      </c>
      <c r="K7" s="5">
        <f t="shared" si="3"/>
        <v>0.54624021872778006</v>
      </c>
    </row>
    <row r="8" spans="3:11" x14ac:dyDescent="0.35">
      <c r="C8" s="4" t="s">
        <v>19</v>
      </c>
      <c r="D8" s="5">
        <f>[1]Depreciation!K6</f>
        <v>245.04077302900001</v>
      </c>
      <c r="E8" s="7"/>
      <c r="F8" s="7"/>
      <c r="G8" s="5">
        <f t="shared" si="0"/>
        <v>245.04077302900001</v>
      </c>
      <c r="H8" s="5">
        <f t="shared" si="1"/>
        <v>245.04077302900001</v>
      </c>
      <c r="I8" s="5">
        <f t="shared" si="2"/>
        <v>220.53669572610002</v>
      </c>
      <c r="J8" s="17">
        <f>[1]Depreciation!N6</f>
        <v>5.28E-2</v>
      </c>
      <c r="K8" s="5">
        <f t="shared" si="3"/>
        <v>11.644337534338081</v>
      </c>
    </row>
    <row r="9" spans="3:11" x14ac:dyDescent="0.35">
      <c r="C9" s="4" t="s">
        <v>20</v>
      </c>
      <c r="D9" s="5">
        <f>[1]Depreciation!K7</f>
        <v>0.98167859300000004</v>
      </c>
      <c r="E9" s="7"/>
      <c r="F9" s="7"/>
      <c r="G9" s="5">
        <f t="shared" si="0"/>
        <v>0.98167859300000004</v>
      </c>
      <c r="H9" s="5">
        <f t="shared" si="1"/>
        <v>0.98167859300000004</v>
      </c>
      <c r="I9" s="5">
        <f t="shared" si="2"/>
        <v>0.88351073370000011</v>
      </c>
      <c r="J9" s="17">
        <f>[1]Depreciation!N7</f>
        <v>6.3299999999999995E-2</v>
      </c>
      <c r="K9" s="5">
        <f t="shared" si="3"/>
        <v>5.5926229443210004E-2</v>
      </c>
    </row>
    <row r="10" spans="3:11" x14ac:dyDescent="0.35">
      <c r="C10" s="4" t="s">
        <v>21</v>
      </c>
      <c r="D10" s="5">
        <f>[1]Depreciation!K8</f>
        <v>0.30903786700000002</v>
      </c>
      <c r="E10" s="7"/>
      <c r="F10" s="7"/>
      <c r="G10" s="5">
        <f t="shared" si="0"/>
        <v>0.30903786700000002</v>
      </c>
      <c r="H10" s="5">
        <f t="shared" si="1"/>
        <v>0.30903786700000002</v>
      </c>
      <c r="I10" s="5">
        <f t="shared" si="2"/>
        <v>0.27813408030000003</v>
      </c>
      <c r="J10" s="17">
        <f>[1]Depreciation!N8</f>
        <v>9.5000000000000001E-2</v>
      </c>
      <c r="K10" s="5">
        <f t="shared" si="3"/>
        <v>2.6422737628500004E-2</v>
      </c>
    </row>
    <row r="11" spans="3:11" x14ac:dyDescent="0.35">
      <c r="C11" s="4" t="s">
        <v>22</v>
      </c>
      <c r="D11" s="5">
        <f>[1]Depreciation!K9</f>
        <v>0.61030273700000126</v>
      </c>
      <c r="E11" s="7"/>
      <c r="F11" s="7"/>
      <c r="G11" s="5">
        <f t="shared" si="0"/>
        <v>0.61030273700000126</v>
      </c>
      <c r="H11" s="5">
        <f t="shared" si="1"/>
        <v>0.61030273700000126</v>
      </c>
      <c r="I11" s="5">
        <f t="shared" si="2"/>
        <v>0.54927246330000112</v>
      </c>
      <c r="J11" s="17">
        <f>[1]Depreciation!N9</f>
        <v>6.3299999999999995E-2</v>
      </c>
      <c r="K11" s="5">
        <f t="shared" si="3"/>
        <v>3.4768946926890067E-2</v>
      </c>
    </row>
    <row r="12" spans="3:11" x14ac:dyDescent="0.35">
      <c r="C12" s="4" t="s">
        <v>23</v>
      </c>
      <c r="D12" s="5">
        <f>[1]Depreciation!K10</f>
        <v>8.9480400000000002E-2</v>
      </c>
      <c r="E12" s="7"/>
      <c r="F12" s="7"/>
      <c r="G12" s="5">
        <f t="shared" si="0"/>
        <v>8.9480400000000002E-2</v>
      </c>
      <c r="H12" s="5">
        <f t="shared" si="1"/>
        <v>8.9480400000000002E-2</v>
      </c>
      <c r="I12" s="5">
        <f t="shared" si="2"/>
        <v>8.0532359999999997E-2</v>
      </c>
      <c r="J12" s="17">
        <f>[1]Depreciation!N10</f>
        <v>5.28E-2</v>
      </c>
      <c r="K12" s="5">
        <f t="shared" si="3"/>
        <v>4.2521086079999994E-3</v>
      </c>
    </row>
    <row r="13" spans="3:11" x14ac:dyDescent="0.35">
      <c r="C13" s="4" t="s">
        <v>24</v>
      </c>
      <c r="D13" s="5">
        <f>[1]Depreciation!K11</f>
        <v>12.961189524</v>
      </c>
      <c r="E13" s="7"/>
      <c r="F13" s="7"/>
      <c r="G13" s="5">
        <f t="shared" si="0"/>
        <v>12.961189524</v>
      </c>
      <c r="H13" s="5">
        <f t="shared" si="1"/>
        <v>12.961189524</v>
      </c>
      <c r="I13" s="5">
        <f t="shared" si="2"/>
        <v>11.665070571599999</v>
      </c>
      <c r="J13" s="17">
        <f>[1]Depreciation!N11</f>
        <v>3.3399999999999999E-2</v>
      </c>
      <c r="K13" s="5">
        <f t="shared" si="3"/>
        <v>0.38961335709143996</v>
      </c>
    </row>
    <row r="14" spans="3:11" x14ac:dyDescent="0.35">
      <c r="C14" s="4" t="s">
        <v>25</v>
      </c>
      <c r="D14" s="5">
        <f>[1]Depreciation!K12</f>
        <v>415.47618788000005</v>
      </c>
      <c r="E14" s="7">
        <f>'GFA and Grants'!E7</f>
        <v>123.27</v>
      </c>
      <c r="F14" s="7"/>
      <c r="G14" s="5">
        <f t="shared" si="0"/>
        <v>538.74618788000009</v>
      </c>
      <c r="H14" s="5">
        <f t="shared" si="1"/>
        <v>477.1111878800001</v>
      </c>
      <c r="I14" s="5">
        <f t="shared" si="2"/>
        <v>429.40006909200008</v>
      </c>
      <c r="J14" s="17">
        <f>[1]Depreciation!N12</f>
        <v>5.28E-2</v>
      </c>
      <c r="K14" s="5">
        <f t="shared" si="3"/>
        <v>22.672323648057603</v>
      </c>
    </row>
    <row r="15" spans="3:11" x14ac:dyDescent="0.35">
      <c r="C15" s="8" t="s">
        <v>32</v>
      </c>
      <c r="D15" s="9">
        <f>SUM(D6:D14)</f>
        <v>705.78038214600008</v>
      </c>
      <c r="E15" s="9">
        <f t="shared" ref="E15:G15" si="4">SUM(E6:E14)</f>
        <v>123.27</v>
      </c>
      <c r="F15" s="9">
        <f t="shared" si="4"/>
        <v>0</v>
      </c>
      <c r="G15" s="9">
        <f t="shared" si="4"/>
        <v>829.05038214600017</v>
      </c>
      <c r="H15" s="9">
        <f t="shared" ref="H15" si="5">SUM(H6:H14)</f>
        <v>767.41538214600018</v>
      </c>
      <c r="I15" s="9">
        <f t="shared" ref="I15" si="6">SUM(I6:I14)</f>
        <v>690.67384393140014</v>
      </c>
      <c r="J15" s="10"/>
      <c r="K15" s="9">
        <f t="shared" ref="K15" si="7">SUM(K6:K14)</f>
        <v>35.373884780821506</v>
      </c>
    </row>
    <row r="16" spans="3:11" x14ac:dyDescent="0.35">
      <c r="C16" s="8" t="s">
        <v>30</v>
      </c>
      <c r="D16" s="10"/>
      <c r="E16" s="10"/>
      <c r="F16" s="10"/>
      <c r="G16" s="10"/>
      <c r="H16" s="10"/>
      <c r="I16" s="10"/>
      <c r="J16" s="10"/>
      <c r="K16" s="18">
        <f>K15/I15</f>
        <v>5.1216482412985292E-2</v>
      </c>
    </row>
    <row r="17" spans="3:11" x14ac:dyDescent="0.35">
      <c r="C17" s="8" t="s">
        <v>33</v>
      </c>
      <c r="D17" s="10"/>
      <c r="E17" s="10"/>
      <c r="F17" s="10"/>
      <c r="G17" s="10"/>
      <c r="H17" s="10"/>
      <c r="I17" s="10"/>
      <c r="J17" s="10"/>
      <c r="K17" s="9">
        <f>90%*'GFA and Grants'!E15</f>
        <v>307.51144488</v>
      </c>
    </row>
    <row r="18" spans="3:11" x14ac:dyDescent="0.35">
      <c r="C18" s="8" t="s">
        <v>34</v>
      </c>
      <c r="D18" s="10"/>
      <c r="E18" s="10"/>
      <c r="F18" s="10"/>
      <c r="G18" s="10"/>
      <c r="H18" s="10"/>
      <c r="I18" s="10"/>
      <c r="J18" s="10"/>
      <c r="K18" s="9">
        <f>K16*K17</f>
        <v>15.749654508488216</v>
      </c>
    </row>
    <row r="19" spans="3:11" x14ac:dyDescent="0.35">
      <c r="C19" s="8" t="s">
        <v>35</v>
      </c>
      <c r="D19" s="10"/>
      <c r="E19" s="10"/>
      <c r="F19" s="10"/>
      <c r="G19" s="10"/>
      <c r="H19" s="10"/>
      <c r="I19" s="10"/>
      <c r="J19" s="10"/>
      <c r="K19" s="9">
        <f>K15-K18</f>
        <v>19.624230272333289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19"/>
  <sheetViews>
    <sheetView topLeftCell="A5" workbookViewId="0">
      <selection activeCell="K17" sqref="K17"/>
    </sheetView>
  </sheetViews>
  <sheetFormatPr defaultRowHeight="14.5" x14ac:dyDescent="0.35"/>
  <cols>
    <col min="1" max="2" width="8.7265625" style="1"/>
    <col min="3" max="3" width="34.90625" style="1" customWidth="1"/>
    <col min="4" max="4" width="10.7265625" style="1" customWidth="1"/>
    <col min="5" max="7" width="8.7265625" style="1"/>
    <col min="8" max="8" width="10.6328125" style="1" customWidth="1"/>
    <col min="9" max="9" width="11" style="1" customWidth="1"/>
    <col min="10" max="10" width="11.90625" style="1" customWidth="1"/>
    <col min="11" max="11" width="11.54296875" style="1" customWidth="1"/>
    <col min="12" max="16384" width="8.7265625" style="1"/>
  </cols>
  <sheetData>
    <row r="5" spans="3:11" ht="43.5" x14ac:dyDescent="0.35">
      <c r="C5" s="14" t="s">
        <v>0</v>
      </c>
      <c r="D5" s="15" t="s">
        <v>36</v>
      </c>
      <c r="E5" s="16" t="s">
        <v>27</v>
      </c>
      <c r="F5" s="16" t="s">
        <v>28</v>
      </c>
      <c r="G5" s="15" t="s">
        <v>7</v>
      </c>
      <c r="H5" s="15" t="s">
        <v>8</v>
      </c>
      <c r="I5" s="15" t="s">
        <v>29</v>
      </c>
      <c r="J5" s="15" t="s">
        <v>30</v>
      </c>
      <c r="K5" s="15" t="s">
        <v>100</v>
      </c>
    </row>
    <row r="6" spans="3:11" x14ac:dyDescent="0.35">
      <c r="C6" s="4" t="s">
        <v>17</v>
      </c>
      <c r="D6" s="5">
        <f>'Depreciation 2025_26'!G6</f>
        <v>12.140068153</v>
      </c>
      <c r="E6" s="7"/>
      <c r="F6" s="7"/>
      <c r="G6" s="5">
        <f t="shared" ref="G6:G14" si="0">D6+E6-F6</f>
        <v>12.140068153</v>
      </c>
      <c r="H6" s="5">
        <f t="shared" ref="H6:H14" si="1">AVERAGE(D6,G6)</f>
        <v>12.140068153</v>
      </c>
      <c r="I6" s="5">
        <f t="shared" ref="I6:I14" si="2">H6*90%</f>
        <v>10.9260613377</v>
      </c>
      <c r="J6" s="17">
        <f>[1]Depreciation!N4</f>
        <v>0</v>
      </c>
      <c r="K6" s="5">
        <f t="shared" ref="K6:K14" si="3">I6*J6</f>
        <v>0</v>
      </c>
    </row>
    <row r="7" spans="3:11" x14ac:dyDescent="0.35">
      <c r="C7" s="4" t="s">
        <v>18</v>
      </c>
      <c r="D7" s="5">
        <f>'Depreciation 2025_26'!G7</f>
        <v>18.171663963</v>
      </c>
      <c r="E7" s="7"/>
      <c r="F7" s="7"/>
      <c r="G7" s="5">
        <f t="shared" si="0"/>
        <v>18.171663963</v>
      </c>
      <c r="H7" s="5">
        <f t="shared" si="1"/>
        <v>18.171663963</v>
      </c>
      <c r="I7" s="5">
        <f t="shared" si="2"/>
        <v>16.354497566700001</v>
      </c>
      <c r="J7" s="17">
        <f>[1]Depreciation!N5</f>
        <v>3.3399999999999999E-2</v>
      </c>
      <c r="K7" s="5">
        <f t="shared" si="3"/>
        <v>0.54624021872778006</v>
      </c>
    </row>
    <row r="8" spans="3:11" x14ac:dyDescent="0.35">
      <c r="C8" s="4" t="s">
        <v>19</v>
      </c>
      <c r="D8" s="5">
        <f>'Depreciation 2025_26'!G8</f>
        <v>245.04077302900001</v>
      </c>
      <c r="E8" s="7"/>
      <c r="F8" s="7"/>
      <c r="G8" s="5">
        <f t="shared" si="0"/>
        <v>245.04077302900001</v>
      </c>
      <c r="H8" s="5">
        <f t="shared" si="1"/>
        <v>245.04077302900001</v>
      </c>
      <c r="I8" s="5">
        <f t="shared" si="2"/>
        <v>220.53669572610002</v>
      </c>
      <c r="J8" s="17">
        <f>[1]Depreciation!N6</f>
        <v>5.28E-2</v>
      </c>
      <c r="K8" s="5">
        <f t="shared" si="3"/>
        <v>11.644337534338081</v>
      </c>
    </row>
    <row r="9" spans="3:11" x14ac:dyDescent="0.35">
      <c r="C9" s="4" t="s">
        <v>20</v>
      </c>
      <c r="D9" s="5">
        <f>'Depreciation 2025_26'!G9</f>
        <v>0.98167859300000004</v>
      </c>
      <c r="E9" s="7"/>
      <c r="F9" s="7"/>
      <c r="G9" s="5">
        <f t="shared" si="0"/>
        <v>0.98167859300000004</v>
      </c>
      <c r="H9" s="5">
        <f t="shared" si="1"/>
        <v>0.98167859300000004</v>
      </c>
      <c r="I9" s="5">
        <f t="shared" si="2"/>
        <v>0.88351073370000011</v>
      </c>
      <c r="J9" s="17">
        <f>[1]Depreciation!N7</f>
        <v>6.3299999999999995E-2</v>
      </c>
      <c r="K9" s="5">
        <f t="shared" si="3"/>
        <v>5.5926229443210004E-2</v>
      </c>
    </row>
    <row r="10" spans="3:11" x14ac:dyDescent="0.35">
      <c r="C10" s="4" t="s">
        <v>21</v>
      </c>
      <c r="D10" s="5">
        <f>'Depreciation 2025_26'!G10</f>
        <v>0.30903786700000002</v>
      </c>
      <c r="E10" s="7"/>
      <c r="F10" s="7"/>
      <c r="G10" s="5">
        <f t="shared" si="0"/>
        <v>0.30903786700000002</v>
      </c>
      <c r="H10" s="5">
        <f t="shared" si="1"/>
        <v>0.30903786700000002</v>
      </c>
      <c r="I10" s="5">
        <f t="shared" si="2"/>
        <v>0.27813408030000003</v>
      </c>
      <c r="J10" s="17">
        <f>[1]Depreciation!N8</f>
        <v>9.5000000000000001E-2</v>
      </c>
      <c r="K10" s="5">
        <f t="shared" si="3"/>
        <v>2.6422737628500004E-2</v>
      </c>
    </row>
    <row r="11" spans="3:11" x14ac:dyDescent="0.35">
      <c r="C11" s="4" t="s">
        <v>22</v>
      </c>
      <c r="D11" s="5">
        <f>'Depreciation 2025_26'!G11</f>
        <v>0.61030273700000126</v>
      </c>
      <c r="E11" s="7"/>
      <c r="F11" s="7"/>
      <c r="G11" s="5">
        <f t="shared" si="0"/>
        <v>0.61030273700000126</v>
      </c>
      <c r="H11" s="5">
        <f t="shared" si="1"/>
        <v>0.61030273700000126</v>
      </c>
      <c r="I11" s="5">
        <f t="shared" si="2"/>
        <v>0.54927246330000112</v>
      </c>
      <c r="J11" s="17">
        <f>[1]Depreciation!N9</f>
        <v>6.3299999999999995E-2</v>
      </c>
      <c r="K11" s="5">
        <f t="shared" si="3"/>
        <v>3.4768946926890067E-2</v>
      </c>
    </row>
    <row r="12" spans="3:11" x14ac:dyDescent="0.35">
      <c r="C12" s="4" t="s">
        <v>23</v>
      </c>
      <c r="D12" s="5">
        <f>'Depreciation 2025_26'!G12</f>
        <v>8.9480400000000002E-2</v>
      </c>
      <c r="E12" s="7"/>
      <c r="F12" s="7"/>
      <c r="G12" s="5">
        <f t="shared" si="0"/>
        <v>8.9480400000000002E-2</v>
      </c>
      <c r="H12" s="5">
        <f t="shared" si="1"/>
        <v>8.9480400000000002E-2</v>
      </c>
      <c r="I12" s="5">
        <f t="shared" si="2"/>
        <v>8.0532359999999997E-2</v>
      </c>
      <c r="J12" s="17">
        <f>[1]Depreciation!N10</f>
        <v>5.28E-2</v>
      </c>
      <c r="K12" s="5">
        <f t="shared" si="3"/>
        <v>4.2521086079999994E-3</v>
      </c>
    </row>
    <row r="13" spans="3:11" x14ac:dyDescent="0.35">
      <c r="C13" s="4" t="s">
        <v>24</v>
      </c>
      <c r="D13" s="5">
        <f>'Depreciation 2025_26'!G13</f>
        <v>12.961189524</v>
      </c>
      <c r="E13" s="7"/>
      <c r="F13" s="7"/>
      <c r="G13" s="5">
        <f t="shared" si="0"/>
        <v>12.961189524</v>
      </c>
      <c r="H13" s="5">
        <f t="shared" si="1"/>
        <v>12.961189524</v>
      </c>
      <c r="I13" s="5">
        <f t="shared" si="2"/>
        <v>11.665070571599999</v>
      </c>
      <c r="J13" s="17">
        <f>[1]Depreciation!N11</f>
        <v>3.3399999999999999E-2</v>
      </c>
      <c r="K13" s="5">
        <f t="shared" si="3"/>
        <v>0.38961335709143996</v>
      </c>
    </row>
    <row r="14" spans="3:11" x14ac:dyDescent="0.35">
      <c r="C14" s="4" t="s">
        <v>25</v>
      </c>
      <c r="D14" s="5">
        <f>'Depreciation 2025_26'!G14</f>
        <v>538.74618788000009</v>
      </c>
      <c r="E14" s="7">
        <f>'GFA and Grants'!F7</f>
        <v>999.71</v>
      </c>
      <c r="F14" s="7"/>
      <c r="G14" s="5">
        <f t="shared" si="0"/>
        <v>1538.45618788</v>
      </c>
      <c r="H14" s="5">
        <f t="shared" si="1"/>
        <v>1038.60118788</v>
      </c>
      <c r="I14" s="5">
        <f t="shared" si="2"/>
        <v>934.74106909199998</v>
      </c>
      <c r="J14" s="17">
        <f>[1]Depreciation!N12</f>
        <v>5.28E-2</v>
      </c>
      <c r="K14" s="5">
        <f t="shared" si="3"/>
        <v>49.354328448057601</v>
      </c>
    </row>
    <row r="15" spans="3:11" x14ac:dyDescent="0.35">
      <c r="C15" s="8" t="s">
        <v>32</v>
      </c>
      <c r="D15" s="9">
        <f>SUM(D6:D14)</f>
        <v>829.05038214600017</v>
      </c>
      <c r="E15" s="9">
        <f t="shared" ref="E15:I15" si="4">SUM(E6:E14)</f>
        <v>999.71</v>
      </c>
      <c r="F15" s="9">
        <f t="shared" si="4"/>
        <v>0</v>
      </c>
      <c r="G15" s="9">
        <f t="shared" si="4"/>
        <v>1828.760382146</v>
      </c>
      <c r="H15" s="9">
        <f t="shared" si="4"/>
        <v>1328.905382146</v>
      </c>
      <c r="I15" s="9">
        <f t="shared" si="4"/>
        <v>1196.0148439314</v>
      </c>
      <c r="J15" s="10"/>
      <c r="K15" s="9">
        <f t="shared" ref="K15" si="5">SUM(K6:K14)</f>
        <v>62.0558895808215</v>
      </c>
    </row>
    <row r="16" spans="3:11" x14ac:dyDescent="0.35">
      <c r="C16" s="8" t="s">
        <v>30</v>
      </c>
      <c r="D16" s="10"/>
      <c r="E16" s="10"/>
      <c r="F16" s="10"/>
      <c r="G16" s="10"/>
      <c r="H16" s="10"/>
      <c r="I16" s="10"/>
      <c r="J16" s="10"/>
      <c r="K16" s="18">
        <f>K15/I15</f>
        <v>5.1885551333826795E-2</v>
      </c>
    </row>
    <row r="17" spans="3:11" x14ac:dyDescent="0.35">
      <c r="C17" s="8" t="s">
        <v>33</v>
      </c>
      <c r="D17" s="10"/>
      <c r="E17" s="10"/>
      <c r="F17" s="10"/>
      <c r="G17" s="10"/>
      <c r="H17" s="10"/>
      <c r="I17" s="10"/>
      <c r="J17" s="10"/>
      <c r="K17" s="9">
        <f>'GFA and Grants'!F15*90%</f>
        <v>810.46744488000002</v>
      </c>
    </row>
    <row r="18" spans="3:11" x14ac:dyDescent="0.35">
      <c r="C18" s="8" t="s">
        <v>34</v>
      </c>
      <c r="D18" s="10"/>
      <c r="E18" s="10"/>
      <c r="F18" s="10"/>
      <c r="G18" s="10"/>
      <c r="H18" s="10"/>
      <c r="I18" s="10"/>
      <c r="J18" s="10"/>
      <c r="K18" s="9">
        <f>K16*K17</f>
        <v>42.051550215716681</v>
      </c>
    </row>
    <row r="19" spans="3:11" x14ac:dyDescent="0.35">
      <c r="C19" s="8" t="s">
        <v>35</v>
      </c>
      <c r="D19" s="10"/>
      <c r="E19" s="10"/>
      <c r="F19" s="10"/>
      <c r="G19" s="10"/>
      <c r="H19" s="10"/>
      <c r="I19" s="10"/>
      <c r="J19" s="10"/>
      <c r="K19" s="9">
        <f>K15-K18</f>
        <v>20.004339365104819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12"/>
  <sheetViews>
    <sheetView workbookViewId="0">
      <selection activeCell="C5" sqref="C5:F12"/>
    </sheetView>
  </sheetViews>
  <sheetFormatPr defaultRowHeight="14.5" x14ac:dyDescent="0.35"/>
  <cols>
    <col min="1" max="2" width="8.7265625" style="1"/>
    <col min="3" max="3" width="34.81640625" style="1" customWidth="1"/>
    <col min="4" max="4" width="9" style="1" bestFit="1" customWidth="1"/>
    <col min="5" max="16384" width="8.7265625" style="1"/>
  </cols>
  <sheetData>
    <row r="5" spans="3:6" ht="29" x14ac:dyDescent="0.35">
      <c r="C5" s="2" t="s">
        <v>0</v>
      </c>
      <c r="D5" s="3" t="s">
        <v>37</v>
      </c>
      <c r="E5" s="3" t="s">
        <v>38</v>
      </c>
      <c r="F5" s="3" t="s">
        <v>45</v>
      </c>
    </row>
    <row r="6" spans="3:6" x14ac:dyDescent="0.35">
      <c r="C6" s="4" t="s">
        <v>39</v>
      </c>
      <c r="D6" s="5">
        <f>'[1]Interest on Loan'!F6</f>
        <v>0</v>
      </c>
      <c r="E6" s="5">
        <f t="shared" ref="E6:F6" si="0">IF(D9&lt;0,0,D9)</f>
        <v>0</v>
      </c>
      <c r="F6" s="5">
        <f t="shared" si="0"/>
        <v>0</v>
      </c>
    </row>
    <row r="7" spans="3:6" x14ac:dyDescent="0.35">
      <c r="C7" s="4" t="s">
        <v>27</v>
      </c>
      <c r="D7" s="5">
        <f>'[1]Interest on Loan'!F7</f>
        <v>0.40055560999999495</v>
      </c>
      <c r="E7" s="7">
        <f>'GFA and Grants'!E17</f>
        <v>3.7099999999999977</v>
      </c>
      <c r="F7" s="7">
        <f>'GFA and Grants'!F17</f>
        <v>0</v>
      </c>
    </row>
    <row r="8" spans="3:6" x14ac:dyDescent="0.35">
      <c r="C8" s="4" t="s">
        <v>40</v>
      </c>
      <c r="D8" s="5">
        <f>'[1]Interest on Loan'!F8</f>
        <v>19.418431635713681</v>
      </c>
      <c r="E8" s="5">
        <f>'Depreciation 2025_26'!K19</f>
        <v>19.624230272333289</v>
      </c>
      <c r="F8" s="5">
        <f>Depreciation!K19</f>
        <v>20.004339365104819</v>
      </c>
    </row>
    <row r="9" spans="3:6" x14ac:dyDescent="0.35">
      <c r="C9" s="8" t="s">
        <v>41</v>
      </c>
      <c r="D9" s="9">
        <f>D6+D7-D8</f>
        <v>-19.017876025713687</v>
      </c>
      <c r="E9" s="9">
        <f t="shared" ref="E9:F9" si="1">E6+E7-E8</f>
        <v>-15.914230272333292</v>
      </c>
      <c r="F9" s="9">
        <f t="shared" si="1"/>
        <v>-20.004339365104819</v>
      </c>
    </row>
    <row r="10" spans="3:6" x14ac:dyDescent="0.35">
      <c r="C10" s="8" t="s">
        <v>42</v>
      </c>
      <c r="D10" s="9">
        <f>IF(D9&lt;0,0,AVERAGE(D6,D9))</f>
        <v>0</v>
      </c>
      <c r="E10" s="9">
        <f t="shared" ref="E10:F10" si="2">IF(E9&lt;0,0,AVERAGE(E6,E9))</f>
        <v>0</v>
      </c>
      <c r="F10" s="9">
        <f t="shared" si="2"/>
        <v>0</v>
      </c>
    </row>
    <row r="11" spans="3:6" x14ac:dyDescent="0.35">
      <c r="C11" s="8" t="s">
        <v>43</v>
      </c>
      <c r="D11" s="18">
        <f>'[1]Interest on Loan'!$F$11</f>
        <v>8.3848839415031337E-2</v>
      </c>
      <c r="E11" s="18">
        <f t="shared" ref="E11:F11" si="3">D11</f>
        <v>8.3848839415031337E-2</v>
      </c>
      <c r="F11" s="18">
        <f t="shared" si="3"/>
        <v>8.3848839415031337E-2</v>
      </c>
    </row>
    <row r="12" spans="3:6" x14ac:dyDescent="0.35">
      <c r="C12" s="8" t="s">
        <v>44</v>
      </c>
      <c r="D12" s="9">
        <f>D10*D11</f>
        <v>0</v>
      </c>
      <c r="E12" s="9">
        <f t="shared" ref="E12:F12" si="4">E10*E11</f>
        <v>0</v>
      </c>
      <c r="F12" s="9">
        <f t="shared" si="4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F16"/>
  <sheetViews>
    <sheetView workbookViewId="0">
      <selection activeCell="C5" sqref="C5:F16"/>
    </sheetView>
  </sheetViews>
  <sheetFormatPr defaultRowHeight="14.5" x14ac:dyDescent="0.35"/>
  <cols>
    <col min="1" max="2" width="8.7265625" style="1"/>
    <col min="3" max="3" width="39.36328125" style="1" bestFit="1" customWidth="1"/>
    <col min="4" max="4" width="11.08984375" style="1" customWidth="1"/>
    <col min="5" max="16384" width="8.7265625" style="1"/>
  </cols>
  <sheetData>
    <row r="5" spans="3:6" ht="29" x14ac:dyDescent="0.35">
      <c r="C5" s="2" t="s">
        <v>0</v>
      </c>
      <c r="D5" s="3" t="s">
        <v>46</v>
      </c>
      <c r="E5" s="3" t="s">
        <v>47</v>
      </c>
      <c r="F5" s="3" t="s">
        <v>45</v>
      </c>
    </row>
    <row r="6" spans="3:6" x14ac:dyDescent="0.35">
      <c r="C6" s="4" t="s">
        <v>4</v>
      </c>
      <c r="D6" s="5">
        <f>'[1]Return on Equity'!F6</f>
        <v>641.25077074600006</v>
      </c>
      <c r="E6" s="5">
        <f>D9</f>
        <v>705.78038214600008</v>
      </c>
      <c r="F6" s="5">
        <f>E9</f>
        <v>829.05038214600006</v>
      </c>
    </row>
    <row r="7" spans="3:6" x14ac:dyDescent="0.35">
      <c r="C7" s="4" t="s">
        <v>48</v>
      </c>
      <c r="D7" s="5">
        <f>'[1]Return on Equity'!F7</f>
        <v>65.186605499999999</v>
      </c>
      <c r="E7" s="7">
        <f>'GFA and Grants'!E7</f>
        <v>123.27</v>
      </c>
      <c r="F7" s="7">
        <f>'GFA and Grants'!F7</f>
        <v>999.71</v>
      </c>
    </row>
    <row r="8" spans="3:6" x14ac:dyDescent="0.35">
      <c r="C8" s="4" t="s">
        <v>49</v>
      </c>
      <c r="D8" s="5">
        <f>'[1]Return on Equity'!F8</f>
        <v>0.65699410000000003</v>
      </c>
      <c r="E8" s="7">
        <v>0</v>
      </c>
      <c r="F8" s="7">
        <v>0</v>
      </c>
    </row>
    <row r="9" spans="3:6" x14ac:dyDescent="0.35">
      <c r="C9" s="4" t="s">
        <v>7</v>
      </c>
      <c r="D9" s="5">
        <f>D6+D7-D8</f>
        <v>705.78038214600008</v>
      </c>
      <c r="E9" s="5">
        <f t="shared" ref="E9:F9" si="0">E6+E7-E8</f>
        <v>829.05038214600006</v>
      </c>
      <c r="F9" s="5">
        <f t="shared" si="0"/>
        <v>1828.7603821460002</v>
      </c>
    </row>
    <row r="10" spans="3:6" x14ac:dyDescent="0.35">
      <c r="C10" s="4" t="s">
        <v>8</v>
      </c>
      <c r="D10" s="5">
        <f>AVERAGE(D6,D9)</f>
        <v>673.51557644600007</v>
      </c>
      <c r="E10" s="5">
        <f t="shared" ref="E10:F10" si="1">AVERAGE(E6,E9)</f>
        <v>767.41538214600007</v>
      </c>
      <c r="F10" s="5">
        <f t="shared" si="1"/>
        <v>1328.9053821460002</v>
      </c>
    </row>
    <row r="11" spans="3:6" x14ac:dyDescent="0.35">
      <c r="C11" s="4" t="s">
        <v>12</v>
      </c>
      <c r="D11" s="5">
        <f>'[1]Return on Equity'!$F$11</f>
        <v>250.38719159999999</v>
      </c>
      <c r="E11" s="5">
        <f>'GFA and Grants'!E15</f>
        <v>341.67938319999996</v>
      </c>
      <c r="F11" s="5">
        <f>'GFA and Grants'!F15</f>
        <v>900.51938319999999</v>
      </c>
    </row>
    <row r="12" spans="3:6" x14ac:dyDescent="0.35">
      <c r="C12" s="4" t="s">
        <v>50</v>
      </c>
      <c r="D12" s="5">
        <f>D10-D11</f>
        <v>423.12838484600007</v>
      </c>
      <c r="E12" s="5">
        <f>E10-E11</f>
        <v>425.73599894600011</v>
      </c>
      <c r="F12" s="5">
        <f>F10-F11</f>
        <v>428.3859989460002</v>
      </c>
    </row>
    <row r="13" spans="3:6" x14ac:dyDescent="0.35">
      <c r="C13" s="8" t="s">
        <v>51</v>
      </c>
      <c r="D13" s="9">
        <f>D12*70%</f>
        <v>296.18986939220002</v>
      </c>
      <c r="E13" s="9">
        <f>E12*70%</f>
        <v>298.01519926220004</v>
      </c>
      <c r="F13" s="9">
        <f>F12*70%</f>
        <v>299.87019926220012</v>
      </c>
    </row>
    <row r="14" spans="3:6" x14ac:dyDescent="0.35">
      <c r="C14" s="8" t="s">
        <v>52</v>
      </c>
      <c r="D14" s="9">
        <f>D12*30%</f>
        <v>126.93851545380002</v>
      </c>
      <c r="E14" s="9">
        <f>E12*30%</f>
        <v>127.72079968380002</v>
      </c>
      <c r="F14" s="9">
        <f>F12*30%</f>
        <v>128.51579968380005</v>
      </c>
    </row>
    <row r="15" spans="3:6" x14ac:dyDescent="0.35">
      <c r="C15" s="8" t="s">
        <v>53</v>
      </c>
      <c r="D15" s="20">
        <v>0.14000000000000001</v>
      </c>
      <c r="E15" s="20">
        <v>0.14000000000000001</v>
      </c>
      <c r="F15" s="20">
        <v>0.14000000000000001</v>
      </c>
    </row>
    <row r="16" spans="3:6" x14ac:dyDescent="0.35">
      <c r="C16" s="8" t="s">
        <v>54</v>
      </c>
      <c r="D16" s="9">
        <f>D14*D15</f>
        <v>17.771392163532006</v>
      </c>
      <c r="E16" s="9">
        <f t="shared" ref="E16:F16" si="2">E14*E15</f>
        <v>17.880911955732007</v>
      </c>
      <c r="F16" s="9">
        <f t="shared" si="2"/>
        <v>17.99221195573201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9"/>
  <sheetViews>
    <sheetView workbookViewId="0">
      <selection activeCell="C5" sqref="C5:E9"/>
    </sheetView>
  </sheetViews>
  <sheetFormatPr defaultRowHeight="14.5" x14ac:dyDescent="0.35"/>
  <cols>
    <col min="3" max="3" width="34.6328125" customWidth="1"/>
    <col min="4" max="4" width="10.26953125" customWidth="1"/>
    <col min="5" max="5" width="11.36328125" customWidth="1"/>
  </cols>
  <sheetData>
    <row r="5" spans="3:5" ht="43.5" x14ac:dyDescent="0.35">
      <c r="C5" s="2" t="s">
        <v>0</v>
      </c>
      <c r="D5" s="3" t="s">
        <v>58</v>
      </c>
      <c r="E5" s="3" t="s">
        <v>59</v>
      </c>
    </row>
    <row r="6" spans="3:5" x14ac:dyDescent="0.35">
      <c r="C6" s="4" t="s">
        <v>55</v>
      </c>
      <c r="D6" s="7">
        <v>60.66</v>
      </c>
      <c r="E6" s="5">
        <f>'Employee Expenses'!F11</f>
        <v>50.829982828513259</v>
      </c>
    </row>
    <row r="7" spans="3:5" x14ac:dyDescent="0.35">
      <c r="C7" s="4" t="s">
        <v>56</v>
      </c>
      <c r="D7" s="7">
        <v>7.07</v>
      </c>
      <c r="E7" s="5">
        <f>'R&amp;M Expenses'!F15</f>
        <v>10.418314572799487</v>
      </c>
    </row>
    <row r="8" spans="3:5" x14ac:dyDescent="0.35">
      <c r="C8" s="4" t="s">
        <v>57</v>
      </c>
      <c r="D8" s="7">
        <v>4.3499999999999996</v>
      </c>
      <c r="E8" s="5">
        <f>'A&amp;G Expenses'!F25</f>
        <v>5.8962432685270905</v>
      </c>
    </row>
    <row r="9" spans="3:5" x14ac:dyDescent="0.35">
      <c r="C9" s="8" t="s">
        <v>32</v>
      </c>
      <c r="D9" s="10">
        <f t="shared" ref="D9:E9" si="0">SUM(D6:D8)</f>
        <v>72.079999999999984</v>
      </c>
      <c r="E9" s="9">
        <f t="shared" si="0"/>
        <v>67.144540669839841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1"/>
  <sheetViews>
    <sheetView workbookViewId="0">
      <selection activeCell="D7" sqref="D7"/>
    </sheetView>
  </sheetViews>
  <sheetFormatPr defaultRowHeight="14.5" x14ac:dyDescent="0.35"/>
  <cols>
    <col min="1" max="2" width="8.7265625" style="1"/>
    <col min="3" max="3" width="35.26953125" style="1" customWidth="1"/>
    <col min="4" max="4" width="12" style="1" customWidth="1"/>
    <col min="5" max="5" width="11.453125" style="1" customWidth="1"/>
    <col min="6" max="6" width="9.36328125" style="1" customWidth="1"/>
    <col min="7" max="16384" width="8.7265625" style="1"/>
  </cols>
  <sheetData>
    <row r="1" spans="3:6" x14ac:dyDescent="0.35">
      <c r="C1" s="11" t="s">
        <v>60</v>
      </c>
      <c r="D1" s="21">
        <v>5.7200000000000001E-2</v>
      </c>
    </row>
    <row r="5" spans="3:6" ht="29" x14ac:dyDescent="0.35">
      <c r="C5" s="2" t="s">
        <v>0</v>
      </c>
      <c r="D5" s="3" t="s">
        <v>37</v>
      </c>
      <c r="E5" s="3" t="s">
        <v>38</v>
      </c>
      <c r="F5" s="3" t="s">
        <v>45</v>
      </c>
    </row>
    <row r="6" spans="3:6" x14ac:dyDescent="0.35">
      <c r="C6" s="4" t="s">
        <v>61</v>
      </c>
      <c r="D6" s="5">
        <f>'[1]Employee Expenses'!G5</f>
        <v>35.874690719999997</v>
      </c>
      <c r="E6" s="5">
        <f t="shared" ref="E6:F10" si="0">D6*(1+$D$1)</f>
        <v>37.926723029183997</v>
      </c>
      <c r="F6" s="5">
        <f t="shared" si="0"/>
        <v>40.096131586453318</v>
      </c>
    </row>
    <row r="7" spans="3:6" x14ac:dyDescent="0.35">
      <c r="C7" s="4" t="s">
        <v>62</v>
      </c>
      <c r="D7" s="5">
        <f>'[1]Employee Expenses'!G6</f>
        <v>0.26893400000000001</v>
      </c>
      <c r="E7" s="5">
        <f t="shared" si="0"/>
        <v>0.28431702479999998</v>
      </c>
      <c r="F7" s="5">
        <f t="shared" si="0"/>
        <v>0.30057995861855996</v>
      </c>
    </row>
    <row r="8" spans="3:6" x14ac:dyDescent="0.35">
      <c r="C8" s="4" t="s">
        <v>63</v>
      </c>
      <c r="D8" s="5">
        <f>'[1]Employee Expenses'!G7</f>
        <v>7.6248483</v>
      </c>
      <c r="E8" s="5">
        <f t="shared" si="0"/>
        <v>8.0609896227599993</v>
      </c>
      <c r="F8" s="5">
        <f t="shared" si="0"/>
        <v>8.5220782291818704</v>
      </c>
    </row>
    <row r="9" spans="3:6" x14ac:dyDescent="0.35">
      <c r="C9" s="8" t="s">
        <v>64</v>
      </c>
      <c r="D9" s="9">
        <f t="shared" ref="D9:F9" si="1">SUM(D6:D8)</f>
        <v>43.768473020000002</v>
      </c>
      <c r="E9" s="9">
        <f t="shared" si="1"/>
        <v>46.27202967674399</v>
      </c>
      <c r="F9" s="9">
        <f t="shared" si="1"/>
        <v>48.918789774253753</v>
      </c>
    </row>
    <row r="10" spans="3:6" x14ac:dyDescent="0.35">
      <c r="C10" s="4" t="s">
        <v>65</v>
      </c>
      <c r="D10" s="5">
        <f>'[1]Employee Expenses'!G9</f>
        <v>1.7099769233333315</v>
      </c>
      <c r="E10" s="5">
        <f t="shared" si="0"/>
        <v>1.807787603347998</v>
      </c>
      <c r="F10" s="5">
        <f t="shared" si="0"/>
        <v>1.9111930542595035</v>
      </c>
    </row>
    <row r="11" spans="3:6" x14ac:dyDescent="0.35">
      <c r="C11" s="8" t="s">
        <v>66</v>
      </c>
      <c r="D11" s="9">
        <f t="shared" ref="D11:F11" si="2">D9+D10</f>
        <v>45.478449943333331</v>
      </c>
      <c r="E11" s="9">
        <f t="shared" si="2"/>
        <v>48.079817280091987</v>
      </c>
      <c r="F11" s="9">
        <f t="shared" si="2"/>
        <v>50.829982828513259</v>
      </c>
    </row>
  </sheetData>
  <pageMargins left="0.7" right="0.7" top="0.75" bottom="0.75" header="0.3" footer="0.3"/>
  <ignoredErrors>
    <ignoredError sqref="E9:F9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15"/>
  <sheetViews>
    <sheetView workbookViewId="0">
      <selection activeCell="D6" sqref="D6"/>
    </sheetView>
  </sheetViews>
  <sheetFormatPr defaultRowHeight="14.5" x14ac:dyDescent="0.35"/>
  <cols>
    <col min="1" max="2" width="8.7265625" style="1"/>
    <col min="3" max="3" width="35.26953125" style="1" customWidth="1"/>
    <col min="4" max="16384" width="8.7265625" style="1"/>
  </cols>
  <sheetData>
    <row r="1" spans="3:6" x14ac:dyDescent="0.35">
      <c r="C1" s="11" t="s">
        <v>60</v>
      </c>
      <c r="D1" s="21">
        <v>5.7200000000000001E-2</v>
      </c>
    </row>
    <row r="5" spans="3:6" ht="29" x14ac:dyDescent="0.35">
      <c r="C5" s="2" t="s">
        <v>0</v>
      </c>
      <c r="D5" s="3" t="s">
        <v>37</v>
      </c>
      <c r="E5" s="3" t="s">
        <v>47</v>
      </c>
      <c r="F5" s="3" t="s">
        <v>45</v>
      </c>
    </row>
    <row r="6" spans="3:6" x14ac:dyDescent="0.35">
      <c r="C6" s="4" t="s">
        <v>18</v>
      </c>
      <c r="D6" s="5">
        <f>'[1]R&amp;M Expenses'!G5</f>
        <v>0.162878</v>
      </c>
      <c r="E6" s="5">
        <f t="shared" ref="E6:F14" si="0">D6*(1+$D$1)</f>
        <v>0.17219462159999999</v>
      </c>
      <c r="F6" s="5">
        <f t="shared" si="0"/>
        <v>0.18204415395551998</v>
      </c>
    </row>
    <row r="7" spans="3:6" x14ac:dyDescent="0.35">
      <c r="C7" s="4" t="s">
        <v>87</v>
      </c>
      <c r="D7" s="5">
        <f>'[1]R&amp;M Expenses'!G6</f>
        <v>0.35499229999999998</v>
      </c>
      <c r="E7" s="5">
        <f t="shared" si="0"/>
        <v>0.37529785955999995</v>
      </c>
      <c r="F7" s="5">
        <f t="shared" si="0"/>
        <v>0.39676489712683194</v>
      </c>
    </row>
    <row r="8" spans="3:6" x14ac:dyDescent="0.35">
      <c r="C8" s="4" t="s">
        <v>88</v>
      </c>
      <c r="D8" s="5">
        <f>'[1]R&amp;M Expenses'!G7</f>
        <v>0.1979409</v>
      </c>
      <c r="E8" s="5">
        <f t="shared" si="0"/>
        <v>0.20926311947999998</v>
      </c>
      <c r="F8" s="5">
        <f t="shared" si="0"/>
        <v>0.22123296991425595</v>
      </c>
    </row>
    <row r="9" spans="3:6" x14ac:dyDescent="0.35">
      <c r="C9" s="4" t="s">
        <v>89</v>
      </c>
      <c r="D9" s="5">
        <f>'[1]R&amp;M Expenses'!G8</f>
        <v>8.3163990999999999</v>
      </c>
      <c r="E9" s="5">
        <f t="shared" si="0"/>
        <v>8.79209712852</v>
      </c>
      <c r="F9" s="5">
        <f t="shared" si="0"/>
        <v>9.2950050842713434</v>
      </c>
    </row>
    <row r="10" spans="3:6" x14ac:dyDescent="0.35">
      <c r="C10" s="4" t="s">
        <v>21</v>
      </c>
      <c r="D10" s="5">
        <f>'[1]R&amp;M Expenses'!G9</f>
        <v>7.0977999999999996E-3</v>
      </c>
      <c r="E10" s="5">
        <f t="shared" si="0"/>
        <v>7.5037941599999988E-3</v>
      </c>
      <c r="F10" s="5">
        <f t="shared" si="0"/>
        <v>7.9330111859519988E-3</v>
      </c>
    </row>
    <row r="11" spans="3:6" x14ac:dyDescent="0.35">
      <c r="C11" s="4" t="s">
        <v>20</v>
      </c>
      <c r="D11" s="5">
        <f>'[1]R&amp;M Expenses'!G10</f>
        <v>8.6730000000000002E-3</v>
      </c>
      <c r="E11" s="5">
        <f t="shared" si="0"/>
        <v>9.1690955999999997E-3</v>
      </c>
      <c r="F11" s="5">
        <f t="shared" si="0"/>
        <v>9.6935678683199994E-3</v>
      </c>
    </row>
    <row r="12" spans="3:6" x14ac:dyDescent="0.35">
      <c r="C12" s="4" t="s">
        <v>90</v>
      </c>
      <c r="D12" s="5">
        <f>'[1]R&amp;M Expenses'!G11</f>
        <v>3.3539600000000003E-2</v>
      </c>
      <c r="E12" s="5">
        <f t="shared" si="0"/>
        <v>3.545806512E-2</v>
      </c>
      <c r="F12" s="5">
        <f t="shared" si="0"/>
        <v>3.7486266444863997E-2</v>
      </c>
    </row>
    <row r="13" spans="3:6" x14ac:dyDescent="0.35">
      <c r="C13" s="8" t="s">
        <v>84</v>
      </c>
      <c r="D13" s="9">
        <f>SUM(D6:D12)</f>
        <v>9.0815206999999987</v>
      </c>
      <c r="E13" s="9">
        <f t="shared" ref="E13:F13" si="1">SUM(E6:E12)</f>
        <v>9.6009836840400009</v>
      </c>
      <c r="F13" s="9">
        <f t="shared" si="1"/>
        <v>10.150159950767087</v>
      </c>
    </row>
    <row r="14" spans="3:6" x14ac:dyDescent="0.35">
      <c r="C14" s="4" t="s">
        <v>91</v>
      </c>
      <c r="D14" s="5">
        <f>'[1]R&amp;M Expenses'!G13</f>
        <v>0.23992250000000001</v>
      </c>
      <c r="E14" s="5">
        <f t="shared" si="0"/>
        <v>0.25364606699999998</v>
      </c>
      <c r="F14" s="5">
        <f t="shared" si="0"/>
        <v>0.26815462203239993</v>
      </c>
    </row>
    <row r="15" spans="3:6" x14ac:dyDescent="0.35">
      <c r="C15" s="8" t="s">
        <v>32</v>
      </c>
      <c r="D15" s="9">
        <f t="shared" ref="D15:F15" si="2">D13+D14</f>
        <v>9.3214431999999992</v>
      </c>
      <c r="E15" s="9">
        <f t="shared" si="2"/>
        <v>9.8546297510400009</v>
      </c>
      <c r="F15" s="9">
        <f t="shared" si="2"/>
        <v>10.418314572799487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 ARR</vt:lpstr>
      <vt:lpstr>GFA and Grants</vt:lpstr>
      <vt:lpstr>Depreciation 2025_26</vt:lpstr>
      <vt:lpstr>Depreciation</vt:lpstr>
      <vt:lpstr>Interest on Loan</vt:lpstr>
      <vt:lpstr>Return on Equity</vt:lpstr>
      <vt:lpstr>Operation and Maintenance Exp.</vt:lpstr>
      <vt:lpstr>Employee Expenses</vt:lpstr>
      <vt:lpstr>R&amp;M Expenses</vt:lpstr>
      <vt:lpstr>A&amp;G Expenses</vt:lpstr>
      <vt:lpstr>IOWC</vt:lpstr>
      <vt:lpstr>Other Income</vt:lpstr>
      <vt:lpstr>Transmission Tariff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2026-02-28T18:12:45Z</dcterms:modified>
</cp:coreProperties>
</file>